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2525" windowHeight="125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_xlnm.Print_Area" localSheetId="0">'Planner'!$A$1:$M$67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0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0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<sst xmlns="http://schemas.openxmlformats.org/spreadsheetml/2006/main" count="807" uniqueCount="715">
  <si>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</si>
  <si>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</si>
  <si>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</si>
  <si>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</si>
  <si>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</si>
  <si>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</si>
  <si>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</si>
  <si>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</si>
  <si>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</si>
  <si>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</si>
  <si>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</si>
  <si>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</si>
  <si>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</si>
  <si>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</si>
  <si>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</si>
  <si>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</si>
  <si>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</si>
  <si>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</si>
  <si>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</si>
  <si>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</si>
  <si>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</si>
  <si>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</si>
  <si>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</si>
  <si>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</si>
  <si>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</si>
  <si>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</si>
  <si>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</si>
  <si>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</si>
  <si>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</si>
  <si>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</si>
  <si>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</si>
  <si>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</si>
  <si>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</si>
  <si>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</si>
  <si>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</si>
  <si>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</si>
  <si>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</si>
  <si>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</si>
  <si>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</si>
  <si>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</si>
  <si>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</si>
  <si>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</si>
  <si>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</si>
  <si>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</si>
  <si>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</si>
  <si>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</si>
  <si>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</si>
  <si>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</si>
  <si>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</si>
  <si>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</si>
  <si>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</si>
  <si>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</si>
  <si>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</si>
  <si>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</si>
  <si>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</si>
  <si>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</si>
  <si>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</si>
  <si>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</si>
  <si>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</si>
  <si>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</si>
  <si>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</si>
  <si>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</si>
  <si>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</si>
  <si>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</si>
  <si>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</si>
  <si>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</si>
  <si>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</si>
  <si>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</si>
  <si>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</si>
  <si>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</si>
  <si>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</si>
  <si>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</si>
  <si>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</si>
  <si>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</si>
  <si>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</si>
  <si>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</si>
  <si>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</si>
  <si>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</si>
  <si>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</si>
  <si>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</si>
  <si>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</si>
  <si>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</si>
  <si>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</si>
  <si>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</si>
  <si>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</si>
  <si>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</si>
  <si>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</si>
  <si>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</si>
  <si>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</si>
  <si>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</si>
  <si>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</si>
  <si>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</si>
  <si>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</si>
  <si>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</si>
  <si>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</si>
  <si>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</si>
  <si>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</si>
  <si>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</si>
  <si>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</si>
  <si>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</si>
  <si>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</si>
  <si>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</si>
  <si>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</si>
  <si>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</si>
  <si>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</si>
  <si>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</si>
  <si>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</si>
  <si>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</si>
  <si>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</si>
  <si>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</si>
  <si>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</si>
  <si>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</si>
  <si>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</si>
  <si>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</si>
  <si>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</si>
  <si>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</si>
  <si>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</si>
  <si>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</si>
  <si>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</si>
  <si>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</si>
  <si>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</si>
  <si>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</si>
  <si>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</si>
  <si>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</si>
  <si>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</si>
  <si>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</si>
  <si>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</si>
  <si>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</si>
  <si>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</si>
  <si>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</si>
  <si>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</si>
  <si>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</si>
  <si>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</si>
  <si>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</si>
  <si>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</si>
  <si>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</si>
  <si>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</si>
  <si>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</si>
  <si>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</si>
  <si>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</si>
  <si>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</si>
  <si>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</si>
  <si>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</si>
  <si>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</si>
  <si>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</si>
  <si>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</si>
  <si>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</si>
  <si>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</si>
  <si>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</si>
  <si>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</si>
  <si>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</si>
  <si>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</si>
  <si>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</si>
  <si>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</si>
  <si>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</si>
  <si>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</si>
  <si>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</si>
  <si>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</si>
  <si>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</si>
  <si>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</si>
  <si>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</si>
  <si>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</si>
  <si>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</si>
  <si>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</si>
  <si>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</si>
  <si>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</si>
  <si>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</si>
  <si>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</si>
  <si>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</si>
  <si>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</si>
  <si>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</si>
  <si>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</si>
  <si>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</si>
  <si>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</si>
  <si>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</si>
  <si>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</si>
  <si>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</si>
  <si>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</si>
  <si>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</si>
  <si>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</si>
  <si>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</si>
  <si>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</si>
  <si>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</si>
  <si>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</si>
  <si>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</si>
  <si>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</si>
  <si>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</si>
  <si>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</si>
  <si>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</si>
  <si>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</si>
  <si>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</si>
  <si>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</si>
  <si>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</si>
  <si>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</si>
  <si>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</si>
  <si>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</si>
  <si>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</si>
  <si>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</si>
  <si>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</si>
  <si>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</si>
  <si>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</si>
  <si>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</si>
  <si>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</si>
  <si>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</si>
  <si>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</si>
  <si>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</si>
  <si>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</si>
  <si>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</si>
  <si>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</si>
  <si>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</si>
  <si>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</si>
  <si>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</si>
  <si>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</si>
  <si>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</si>
  <si>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</si>
  <si>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</si>
  <si>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</si>
  <si>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</si>
  <si>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</si>
  <si>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</si>
  <si>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</si>
  <si>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</si>
  <si>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</si>
  <si>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</si>
  <si>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</si>
  <si>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</si>
  <si>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</si>
  <si>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</si>
  <si>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</si>
  <si>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</si>
  <si>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</si>
  <si>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</si>
  <si>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</si>
  <si>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</si>
  <si>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</si>
  <si>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</si>
  <si>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</si>
  <si>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</si>
  <si>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</si>
  <si>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</si>
  <si>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</si>
  <si>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</si>
  <si>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</si>
  <si>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</si>
  <si>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</si>
  <si>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</si>
  <si>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</si>
  <si>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</si>
  <si>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</si>
  <si>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</si>
  <si>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</si>
  <si>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</si>
  <si>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</si>
  <si>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</si>
  <si>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</si>
  <si>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</si>
  <si>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</si>
  <si>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</si>
  <si>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</si>
  <si>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</si>
  <si>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</si>
  <si>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</si>
  <si>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</si>
  <si>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</si>
  <si>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</si>
  <si>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</si>
  <si>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</si>
  <si>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</si>
  <si>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</si>
  <si>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</si>
  <si>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</si>
  <si>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</si>
  <si>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</si>
  <si>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</si>
  <si>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</si>
  <si>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</si>
  <si>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</si>
  <si>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</si>
  <si>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</si>
  <si>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</si>
  <si>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</si>
  <si>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</si>
  <si>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</si>
  <si>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</si>
  <si>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</si>
  <si>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</si>
  <si>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</si>
  <si>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</si>
  <si>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</si>
  <si>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</si>
  <si>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</si>
  <si>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</si>
  <si>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</si>
  <si>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</si>
  <si>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</si>
  <si>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</si>
  <si>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</si>
  <si>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</si>
  <si>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</si>
  <si>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</si>
  <si>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</si>
  <si>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</si>
  <si>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</si>
  <si>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</si>
  <si>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</si>
  <si>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</si>
  <si>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</si>
  <si>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</si>
  <si>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</si>
  <si>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</si>
  <si>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</si>
  <si>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</si>
  <si>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</si>
  <si>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</si>
  <si>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</si>
  <si>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</si>
  <si>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</si>
  <si>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</si>
  <si>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</si>
  <si>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</si>
  <si>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</si>
  <si>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</si>
  <si>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</si>
  <si>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</si>
  <si>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</si>
  <si>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</si>
  <si>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</si>
  <si>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</si>
  <si>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</si>
  <si>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</si>
  <si>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</si>
  <si>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</si>
  <si>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</si>
  <si>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</si>
  <si>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</si>
  <si>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</si>
  <si>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</si>
  <si>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</si>
  <si>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</si>
  <si>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</si>
  <si>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</si>
  <si>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</si>
  <si>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</si>
  <si>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</si>
  <si>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</si>
  <si>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</si>
  <si>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</si>
  <si>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</si>
  <si>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</si>
  <si>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</si>
  <si>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</si>
  <si>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</si>
  <si>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</si>
  <si>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</si>
  <si>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</si>
  <si>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</si>
  <si>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</si>
  <si>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</si>
  <si>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</si>
  <si>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</si>
  <si>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</si>
  <si>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</si>
  <si>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</si>
  <si>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</si>
  <si>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</si>
  <si>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</si>
  <si>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</si>
  <si>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</si>
  <si>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</si>
  <si>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</si>
  <si>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</si>
  <si>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</si>
  <si>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</si>
  <si>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</si>
  <si>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</si>
  <si>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</si>
  <si>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</si>
  <si>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</si>
  <si>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</si>
  <si>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</si>
  <si>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</si>
  <si>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</si>
  <si>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</si>
  <si>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</si>
  <si>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</si>
  <si>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</si>
  <si>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</si>
  <si>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</si>
  <si>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</si>
  <si>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</si>
  <si>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</si>
  <si>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</si>
  <si>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</si>
  <si>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</si>
  <si>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</si>
  <si>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</si>
  <si>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</si>
  <si>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</si>
  <si>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</si>
  <si>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</si>
  <si>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</si>
  <si>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</si>
  <si>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</si>
  <si>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</si>
  <si>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</si>
  <si>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</si>
  <si>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</si>
  <si>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</si>
  <si>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</si>
  <si>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</si>
  <si>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</si>
  <si>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</si>
  <si>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</si>
  <si>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</si>
  <si>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</si>
  <si>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</si>
  <si>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</si>
  <si>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</si>
  <si>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</si>
  <si>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</si>
  <si>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</si>
  <si>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</si>
  <si>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</si>
  <si>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</si>
  <si>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</si>
  <si>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</si>
  <si>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</si>
  <si>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</si>
  <si>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</si>
  <si>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</si>
  <si>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</si>
  <si>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</si>
  <si>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</si>
  <si>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</si>
  <si>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</si>
  <si>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</si>
  <si>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</si>
  <si>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</si>
  <si>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</si>
  <si>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</si>
  <si>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</si>
  <si>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</si>
  <si>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</si>
  <si>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</si>
  <si>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</si>
  <si>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</si>
  <si>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</si>
  <si>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</si>
  <si>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</si>
  <si>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</si>
  <si>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</si>
  <si>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</si>
  <si>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</si>
  <si>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</si>
  <si>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</si>
  <si>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</si>
  <si>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</si>
  <si>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</si>
  <si>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</si>
  <si>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</si>
  <si>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</si>
  <si>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</si>
  <si>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</si>
  <si>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</si>
  <si>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</si>
  <si>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</si>
  <si>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</si>
  <si>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</si>
  <si>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</si>
  <si>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</si>
  <si>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</si>
  <si>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</si>
  <si>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</si>
  <si>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</si>
  <si>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</si>
  <si>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</si>
  <si>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</si>
  <si>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</si>
  <si>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</si>
  <si>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</si>
  <si>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</si>
  <si>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</si>
  <si>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</si>
  <si>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</si>
  <si>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</si>
  <si>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</si>
  <si>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</si>
  <si>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</si>
  <si>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</si>
  <si>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</si>
  <si>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</si>
  <si>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</si>
  <si>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</si>
  <si>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</si>
  <si>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</si>
  <si>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</si>
  <si>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</si>
  <si>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</si>
  <si>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</si>
  <si>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</si>
  <si>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</si>
  <si>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</si>
  <si>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</si>
  <si>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</si>
  <si>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</si>
  <si>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</si>
  <si>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</si>
  <si>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</si>
  <si>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</si>
  <si>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</si>
  <si>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</si>
  <si>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</si>
  <si>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</si>
  <si>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</si>
  <si>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</si>
  <si>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</si>
  <si>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</si>
  <si>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</si>
  <si>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</si>
  <si>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</si>
  <si>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</si>
  <si>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</si>
  <si>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</si>
  <si>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</si>
  <si>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</si>
  <si>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</si>
  <si>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</si>
  <si>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</si>
  <si>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</si>
  <si>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</si>
  <si>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</si>
  <si>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</si>
  <si>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</si>
  <si>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</si>
  <si>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</si>
  <si>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</si>
  <si>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</si>
  <si>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</si>
  <si>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</si>
  <si>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</si>
  <si>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</si>
  <si>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</si>
  <si>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</si>
  <si>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</si>
  <si>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</si>
  <si>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</si>
  <si>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</si>
  <si>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</si>
  <si>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</si>
  <si>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</si>
  <si>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</si>
  <si>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</si>
  <si>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</si>
  <si>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</si>
  <si>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</si>
  <si>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</si>
  <si>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</si>
  <si>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</si>
  <si>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</si>
  <si>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</si>
  <si>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</si>
  <si>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</si>
  <si>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</si>
  <si>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</si>
  <si>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</si>
  <si>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</si>
  <si>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</si>
  <si>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</si>
  <si>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</si>
  <si>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</si>
  <si>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</si>
  <si>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</si>
  <si>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</si>
  <si>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</si>
  <si>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</si>
  <si>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</si>
  <si>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</si>
  <si>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</si>
  <si>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</si>
  <si>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</si>
  <si>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</si>
  <si>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</si>
  <si>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</si>
  <si>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</si>
  <si>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</si>
  <si>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</si>
  <si>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</si>
  <si>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</si>
  <si>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</si>
  <si>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</si>
  <si>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</si>
  <si>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</si>
  <si>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</si>
  <si>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</si>
  <si>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</si>
  <si>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</si>
  <si>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</si>
  <si>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</si>
  <si>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</si>
  <si>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</si>
  <si>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</si>
  <si>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</si>
  <si>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</si>
  <si>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</si>
  <si>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</si>
  <si>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</si>
  <si>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</si>
  <si>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</si>
  <si>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</si>
  <si>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</si>
  <si>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</si>
  <si>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</si>
  <si>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</si>
  <si>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</si>
  <si>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</si>
  <si>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</si>
  <si>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</si>
  <si>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</si>
  <si>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</si>
  <si>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</si>
  <si>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</si>
  <si>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</si>
  <si>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</si>
  <si>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</si>
  <si>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</si>
  <si>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</si>
  <si>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</si>
  <si>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</si>
  <si>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</si>
  <si>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</si>
  <si>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</si>
  <si>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</si>
  <si>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</si>
  <si>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</si>
  <si>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</si>
  <si>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</si>
  <si>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</si>
  <si>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</si>
  <si>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</si>
  <si>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</si>
  <si>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</si>
  <si>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</si>
  <si>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</si>
  <si>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</si>
  <si>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</si>
  <si>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</si>
  <si>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</si>
  <si>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</si>
  <si>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</si>
  <si>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</si>
  <si>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</si>
  <si>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</si>
  <si>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</si>
  <si>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</si>
  <si>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</si>
  <si>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</si>
  <si>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</si>
  <si>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</si>
  <si>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</si>
  <si>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</si>
  <si>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</si>
  <si>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</si>
  <si>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</si>
  <si>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</si>
  <si>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</si>
  <si>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</si>
  <si>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</si>
  <si>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</si>
  <si>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</si>
  <si>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</si>
  <si>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</si>
  <si>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</si>
  <si>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</si>
  <si>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</si>
  <si>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</si>
  <si>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</si>
  <si>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</si>
  <si>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</si>
  <si>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</si>
  <si>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</si>
  <si>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</si>
  <si>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</si>
  <si>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</si>
  <si>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</si>
  <si>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</si>
  <si>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</si>
  <si>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</si>
  <si>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</si>
  <si>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</si>
  <si>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</si>
  <si>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</si>
  <si>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</si>
  <si>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</si>
  <si>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</si>
  <si>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</si>
  <si>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</si>
  <si>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</si>
  <si>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</si>
  <si>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</si>
  <si>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</si>
  <si>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</si>
  <si>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</si>
  <si>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</si>
  <si>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</si>
  <si>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</si>
  <si>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</si>
  <si>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</si>
  <si>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Recept 28</t>
  </si>
  <si>
    <t>Barley wine</t>
  </si>
  <si>
    <t>Z</t>
  </si>
  <si>
    <t>FWH</t>
  </si>
  <si>
    <t>REFRAC</t>
  </si>
  <si>
    <t>1wk</t>
  </si>
  <si>
    <t>J</t>
  </si>
  <si>
    <t>geen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</si>
</sst>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1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0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1" applyNumberFormat="0" applyAlignment="0" applyProtection="0"/>
    <xf numFmtId="0" fontId="107" fillId="27" borderId="2" applyNumberFormat="0" applyAlignment="0" applyProtection="0"/>
    <xf numFmtId="0" fontId="108" fillId="0" borderId="3" applyNumberFormat="0" applyFill="0" applyAlignment="0" applyProtection="0"/>
    <xf numFmtId="0" fontId="109" fillId="28" borderId="0" applyNumberFormat="0" applyBorder="0" applyAlignment="0" applyProtection="0"/>
    <xf numFmtId="0" fontId="11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0" fillId="31" borderId="7" applyNumberFormat="0" applyFont="0" applyAlignment="0" applyProtection="0"/>
    <xf numFmtId="0" fontId="115" fillId="32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8" applyNumberFormat="0" applyFill="0" applyAlignment="0" applyProtection="0"/>
    <xf numFmtId="0" fontId="11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3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4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4" applyFont="1" applyFill="1" applyAlignment="1">
      <alignment horizontal="center"/>
      <protection/>
    </xf>
    <xf numFmtId="1" fontId="19" fillId="44" borderId="0" xfId="54" applyNumberFormat="1" applyFont="1" applyFill="1">
      <alignment/>
      <protection/>
    </xf>
    <xf numFmtId="0" fontId="19" fillId="44" borderId="0" xfId="54" applyFont="1" applyFill="1">
      <alignment/>
      <protection/>
    </xf>
    <xf numFmtId="0" fontId="19" fillId="0" borderId="0" xfId="54" applyFont="1" applyFill="1" applyAlignment="1">
      <alignment horizontal="center"/>
      <protection/>
    </xf>
    <xf numFmtId="0" fontId="19" fillId="0" borderId="0" xfId="54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4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4" applyFont="1" applyFill="1" applyBorder="1" applyAlignment="1">
      <alignment horizontal="center"/>
      <protection/>
    </xf>
    <xf numFmtId="0" fontId="42" fillId="53" borderId="110" xfId="54" applyFont="1" applyFill="1" applyBorder="1" applyAlignment="1">
      <alignment horizontal="center"/>
      <protection/>
    </xf>
    <xf numFmtId="0" fontId="82" fillId="54" borderId="111" xfId="54" applyFont="1" applyFill="1" applyBorder="1" applyAlignment="1">
      <alignment horizontal="center"/>
      <protection/>
    </xf>
    <xf numFmtId="0" fontId="82" fillId="55" borderId="112" xfId="54" applyFont="1" applyFill="1" applyBorder="1" applyAlignment="1">
      <alignment horizontal="center"/>
      <protection/>
    </xf>
    <xf numFmtId="0" fontId="14" fillId="50" borderId="113" xfId="54" applyFont="1" applyFill="1" applyBorder="1" applyAlignment="1">
      <alignment horizontal="center"/>
      <protection/>
    </xf>
    <xf numFmtId="1" fontId="14" fillId="50" borderId="114" xfId="54" applyNumberFormat="1" applyFont="1" applyFill="1" applyBorder="1" applyAlignment="1">
      <alignment horizontal="center"/>
      <protection/>
    </xf>
    <xf numFmtId="0" fontId="40" fillId="53" borderId="115" xfId="54" applyFont="1" applyFill="1" applyBorder="1" applyAlignment="1">
      <alignment horizontal="center"/>
      <protection/>
    </xf>
    <xf numFmtId="0" fontId="83" fillId="54" borderId="116" xfId="54" applyFont="1" applyFill="1" applyBorder="1" applyAlignment="1">
      <alignment horizontal="center"/>
      <protection/>
    </xf>
    <xf numFmtId="0" fontId="80" fillId="55" borderId="117" xfId="54" applyFont="1" applyFill="1" applyBorder="1" applyAlignment="1">
      <alignment horizontal="center"/>
      <protection/>
    </xf>
    <xf numFmtId="0" fontId="84" fillId="44" borderId="118" xfId="54" applyFont="1" applyFill="1" applyBorder="1" applyAlignment="1">
      <alignment horizontal="center"/>
      <protection/>
    </xf>
    <xf numFmtId="1" fontId="19" fillId="0" borderId="92" xfId="54" applyNumberFormat="1" applyFont="1" applyFill="1" applyBorder="1" applyAlignment="1">
      <alignment horizontal="center"/>
      <protection/>
    </xf>
    <xf numFmtId="0" fontId="19" fillId="56" borderId="92" xfId="54" applyFont="1" applyFill="1" applyBorder="1" applyAlignment="1">
      <alignment horizontal="center"/>
      <protection/>
    </xf>
    <xf numFmtId="0" fontId="19" fillId="54" borderId="92" xfId="54" applyFont="1" applyFill="1" applyBorder="1" applyAlignment="1">
      <alignment horizontal="center"/>
      <protection/>
    </xf>
    <xf numFmtId="0" fontId="19" fillId="55" borderId="92" xfId="54" applyFont="1" applyFill="1" applyBorder="1" applyAlignment="1">
      <alignment horizontal="center"/>
      <protection/>
    </xf>
    <xf numFmtId="0" fontId="19" fillId="44" borderId="92" xfId="54" applyFont="1" applyFill="1" applyBorder="1" applyAlignment="1">
      <alignment horizontal="center"/>
      <protection/>
    </xf>
    <xf numFmtId="1" fontId="19" fillId="0" borderId="92" xfId="54" applyNumberFormat="1" applyFont="1" applyFill="1" applyBorder="1">
      <alignment/>
      <protection/>
    </xf>
    <xf numFmtId="0" fontId="19" fillId="56" borderId="92" xfId="54" applyFont="1" applyFill="1" applyBorder="1">
      <alignment/>
      <protection/>
    </xf>
    <xf numFmtId="0" fontId="19" fillId="54" borderId="92" xfId="54" applyFont="1" applyFill="1" applyBorder="1">
      <alignment/>
      <protection/>
    </xf>
    <xf numFmtId="0" fontId="19" fillId="55" borderId="92" xfId="54" applyFont="1" applyFill="1" applyBorder="1">
      <alignment/>
      <protection/>
    </xf>
    <xf numFmtId="0" fontId="19" fillId="44" borderId="92" xfId="54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4" applyFont="1" applyFill="1" applyBorder="1" applyAlignment="1">
      <alignment horizontal="center"/>
      <protection/>
    </xf>
    <xf numFmtId="0" fontId="17" fillId="58" borderId="120" xfId="54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78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26" xfId="0" applyNumberFormat="1" applyFont="1" applyFill="1" applyBorder="1" applyAlignment="1" applyProtection="1">
      <alignment horizontal="right" vertical="center"/>
      <protection/>
    </xf>
    <xf numFmtId="221" fontId="0" fillId="0" borderId="127" xfId="0" applyNumberFormat="1" applyBorder="1" applyAlignment="1">
      <alignment horizontal="right"/>
    </xf>
    <xf numFmtId="222" fontId="34" fillId="35" borderId="127" xfId="0" applyNumberFormat="1" applyFont="1" applyFill="1" applyBorder="1" applyAlignment="1" applyProtection="1">
      <alignment horizontal="left" vertical="center"/>
      <protection/>
    </xf>
    <xf numFmtId="222" fontId="0" fillId="0" borderId="128" xfId="0" applyNumberFormat="1" applyBorder="1" applyAlignment="1">
      <alignment horizontal="left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>
      <alignment horizontal="left"/>
    </xf>
    <xf numFmtId="0" fontId="4" fillId="38" borderId="131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31" xfId="0" applyFont="1" applyBorder="1" applyAlignment="1">
      <alignment horizontal="left" vertical="center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7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6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ierkleur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K53" sqref="K53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2" t="s">
        <v>707</v>
      </c>
      <c r="B1" s="512"/>
      <c r="C1" s="3" t="s">
        <v>0</v>
      </c>
      <c r="F1" s="4" t="s">
        <v>588</v>
      </c>
      <c r="G1" s="267">
        <v>3.5</v>
      </c>
      <c r="H1" s="268">
        <f>IF(mashfactor&gt;4.5,0,(5-mashfactor)/2.2)</f>
        <v>0.6818181818181818</v>
      </c>
      <c r="J1" s="6" t="s">
        <v>599</v>
      </c>
      <c r="K1" s="499">
        <v>41583</v>
      </c>
      <c r="L1" s="500"/>
      <c r="M1" s="23"/>
      <c r="S1" s="471"/>
      <c r="T1" s="461" t="s">
        <v>668</v>
      </c>
      <c r="U1" s="462" t="s">
        <v>674</v>
      </c>
      <c r="V1" s="463" t="s">
        <v>675</v>
      </c>
      <c r="W1" s="464" t="s">
        <v>676</v>
      </c>
      <c r="X1" s="465" t="s">
        <v>677</v>
      </c>
      <c r="Y1" s="431"/>
      <c r="Z1" s="455" t="s">
        <v>668</v>
      </c>
      <c r="AA1" s="428"/>
      <c r="AB1" s="7" t="s">
        <v>1</v>
      </c>
      <c r="AC1" s="8" t="str">
        <f>HoofdGist</f>
        <v>Fermentis US-05 korrel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2" t="s">
        <v>708</v>
      </c>
      <c r="B2" s="512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499">
        <v>41601</v>
      </c>
      <c r="L2" s="500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41.578667889913866</v>
      </c>
      <c r="AA2" s="428"/>
      <c r="AB2" s="519" t="str">
        <f>G3</f>
        <v>Universeel, krachtig, bier verbleekt.</v>
      </c>
      <c r="AC2" s="519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10</v>
      </c>
      <c r="C3" s="17" t="s">
        <v>6</v>
      </c>
      <c r="D3" s="520" t="s">
        <v>242</v>
      </c>
      <c r="E3" s="520"/>
      <c r="F3" s="520"/>
      <c r="G3" s="501" t="str">
        <f>VLOOKUP(HoofdGist,'Info-Tabellen'!$X:$AB,5,0)</f>
        <v>Universeel, krachtig, bier verbleekt.</v>
      </c>
      <c r="H3" s="502"/>
      <c r="I3" s="502"/>
      <c r="J3" s="502"/>
      <c r="K3" s="502"/>
      <c r="L3" s="502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1.4</v>
      </c>
      <c r="E4" s="22"/>
      <c r="F4" s="74" t="s">
        <v>590</v>
      </c>
      <c r="G4" s="24">
        <v>99.5</v>
      </c>
      <c r="J4" s="166" t="s">
        <v>619</v>
      </c>
      <c r="K4" s="270">
        <v>60</v>
      </c>
      <c r="L4" s="361">
        <f>IF(Aardbier="D",-0.5,IF(Aardbier="M",-0.3,IF(Aardbier=1,-0.8,2.5)))</f>
        <v>2.5</v>
      </c>
      <c r="M4" s="23"/>
      <c r="N4" s="207"/>
      <c r="P4" s="485"/>
      <c r="Q4" s="485"/>
      <c r="R4" s="88">
        <f>0.0000152482628*voorsp_eindplato*voorsp_eindplato+0.0038422807854*voorsp_eindplato+1.0000602058824</f>
        <v>1.0194834552241714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674</v>
      </c>
      <c r="AA4" s="428"/>
      <c r="AB4" s="7" t="s">
        <v>8</v>
      </c>
      <c r="AC4" s="8" t="str">
        <f>K52</f>
        <v>geen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709</v>
      </c>
      <c r="C5" s="19"/>
      <c r="D5" s="74" t="s">
        <v>592</v>
      </c>
      <c r="E5" s="307" t="s">
        <v>17</v>
      </c>
      <c r="F5" s="22"/>
      <c r="G5" s="19" t="s">
        <v>593</v>
      </c>
      <c r="H5" s="20">
        <v>13.4</v>
      </c>
      <c r="I5" s="358">
        <f>VLOOKUP(HoofdGist,'Info-Tabellen'!$X:$AB,2,0)</f>
        <v>81</v>
      </c>
      <c r="J5" s="359">
        <f>SUM($D$8:$D$18)</f>
        <v>4.22125</v>
      </c>
      <c r="K5" s="283">
        <f>IF(Eiwitrust="J",10,0)</f>
        <v>0</v>
      </c>
      <c r="L5" s="360">
        <f>(totplato-VSPrestextract)/(2.0665-0.010665*(totplato))</f>
        <v>9.617995938130967</v>
      </c>
      <c r="M5" s="23"/>
      <c r="R5" s="486" t="s">
        <v>695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83</v>
      </c>
      <c r="AA5" s="428"/>
      <c r="AB5" s="519" t="e">
        <f>VLOOKUP(bottelgist,'Info-Tabellen'!$X:$AB,5,0)</f>
        <v>#N/A</v>
      </c>
      <c r="AC5" s="519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16</v>
      </c>
      <c r="C6" s="263"/>
      <c r="D6" s="21"/>
      <c r="E6" s="22"/>
      <c r="F6" s="356" t="s">
        <v>653</v>
      </c>
      <c r="G6" s="357">
        <f>IF(mashfactor&lt;3.66,$G$2-((mashfactor)/1000)+0.00666,$G$2-((mashfactor)/20)+0.175)</f>
        <v>0.8031600000000001</v>
      </c>
      <c r="H6" s="396"/>
      <c r="I6" s="272">
        <f>IF(moutkilos=0,"",IF(Aardbier=1,moutkilos*1.6*($B$30-mouttemp)/(mashwater*4.18),moutkilos*1.6*($B$29-mouttemp)/(mashwater*4.18)))</f>
        <v>5.0393363086861545</v>
      </c>
      <c r="K6" s="304" t="s">
        <v>620</v>
      </c>
      <c r="L6" s="264"/>
      <c r="M6" s="265"/>
      <c r="N6" s="72"/>
      <c r="O6" s="280">
        <f>VLOOKUP(HoofdGist,'Info-Tabellen'!$X:$AB,3,0)</f>
        <v>107</v>
      </c>
      <c r="P6" s="392" t="s">
        <v>669</v>
      </c>
      <c r="R6" s="207" t="s">
        <v>694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668</v>
      </c>
      <c r="G7" s="27" t="s">
        <v>14</v>
      </c>
      <c r="H7" s="27" t="s">
        <v>15</v>
      </c>
      <c r="I7" s="290" t="s">
        <v>595</v>
      </c>
      <c r="J7" s="48">
        <f>SUM($E$8:$E$18)</f>
        <v>23.390329492666694</v>
      </c>
      <c r="K7" s="47">
        <f>IF(ISNUMBER($J$7),(0.0000152482628*J7*J7+0.0038422807854*J7+1.0000602058824)*1000,"")</f>
        <v>1098.2748586061516</v>
      </c>
      <c r="L7" s="306">
        <f>IF(ISNUMBER($J$7),0.0000005*R7*R7*R7-0.00042273*R7*R7+0.28198838*R7-3.97853928,"")</f>
        <v>24.156357544089822</v>
      </c>
      <c r="M7" s="281"/>
      <c r="N7" s="409" t="s">
        <v>601</v>
      </c>
      <c r="O7" s="414" t="s">
        <v>618</v>
      </c>
      <c r="P7" s="88" t="s">
        <v>664</v>
      </c>
      <c r="Q7" s="88" t="s">
        <v>668</v>
      </c>
      <c r="R7" s="484">
        <f>0.0010941210237*J7*J7*J7-0.0084685862875*J7*J7+4.0095424008421*J7+14.4773574022522</f>
        <v>117.63014219368007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675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118</v>
      </c>
      <c r="B8" s="370">
        <f>VLOOKUP(A8,'Info-Tabellen'!$H:$K,2,0)</f>
        <v>80.07</v>
      </c>
      <c r="C8" s="370">
        <f>VLOOKUP(A8,'Info-Tabellen'!$H:$J,3,0)</f>
        <v>3</v>
      </c>
      <c r="D8" s="31">
        <f>13/40*Gewenste_liters</f>
        <v>3.25</v>
      </c>
      <c r="E8" s="32">
        <f>IF(Gewenste_liters=0,"0",IF(D8=0,"  ",(B8*D8/(Gewenste_liters+hopverlies))*effic))</f>
        <v>18.049714181341468</v>
      </c>
      <c r="F8" s="33">
        <f aca="true" t="shared" si="0" ref="F8:F18">IF(Gewenste_liters=0,"0",IF(D8=0,"  ",1.8*(Q8)^0.69))</f>
        <v>6.406882609178703</v>
      </c>
      <c r="G8" s="276">
        <f aca="true" t="shared" si="1" ref="G8:G16">IF(D8="","  ",(D8*100/Totaalkg))</f>
        <v>71.882775781034</v>
      </c>
      <c r="H8" s="277">
        <f aca="true" t="shared" si="2" ref="H8:H16">IF(E8="  ","  ",(E8*100/totplato))</f>
        <v>69.50701692619329</v>
      </c>
      <c r="I8" s="298">
        <f aca="true" t="shared" si="3" ref="I8:I23">IF(O8=0,"",E8-(E8*O8/100))</f>
        <v>4.003754782043016</v>
      </c>
      <c r="J8" s="513" t="s">
        <v>621</v>
      </c>
      <c r="K8" s="514"/>
      <c r="L8" s="514"/>
      <c r="M8" s="23"/>
      <c r="N8" s="410">
        <f>IF(D8=0,0,VLOOKUP(A8,'Info-Tabellen'!$H:$K,4,0))</f>
        <v>100</v>
      </c>
      <c r="O8" s="415">
        <f>IF(N8=0,0,(SVGopmout*N8/100)-ATNfactor-Aftrokmaische)</f>
        <v>77.81818181818181</v>
      </c>
      <c r="P8" s="379">
        <f>IF(C8=0,0,C8*0.3748+0.6)</f>
        <v>1.7244000000000002</v>
      </c>
      <c r="Q8" s="379">
        <f>C8*E8/8.6</f>
        <v>6.296411923723768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51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162</v>
      </c>
      <c r="B9" s="371">
        <f>VLOOKUP(A9,'Info-Tabellen'!$H:$J,2,0)</f>
        <v>80.07</v>
      </c>
      <c r="C9" s="371">
        <f>VLOOKUP(A9,'Info-Tabellen'!$H:$J,3,0)</f>
        <v>15</v>
      </c>
      <c r="D9" s="36">
        <f>3.6/40*Gewenste_liters</f>
        <v>0.8999999999999999</v>
      </c>
      <c r="E9" s="37">
        <f aca="true" t="shared" si="4" ref="E9:E18">IF(Gewenste_liters=0,"0",IF(D9=0,"  ",(B9*D9/(Gewenste_liters+hopverlies))*effic))</f>
        <v>4.998382388679176</v>
      </c>
      <c r="F9" s="38">
        <f t="shared" si="0"/>
        <v>8.01980635650779</v>
      </c>
      <c r="G9" s="278">
        <f t="shared" si="1"/>
        <v>19.905999447055567</v>
      </c>
      <c r="H9" s="63">
        <f t="shared" si="2"/>
        <v>19.24809699494584</v>
      </c>
      <c r="I9" s="299">
        <f t="shared" si="3"/>
        <v>0.9837725337718561</v>
      </c>
      <c r="J9" s="515"/>
      <c r="K9" s="516"/>
      <c r="L9" s="516"/>
      <c r="M9" s="305"/>
      <c r="N9" s="411">
        <f>IF(D9=0,0,VLOOKUP(A9,'Info-Tabellen'!$H:$K,4,0))</f>
        <v>100</v>
      </c>
      <c r="O9" s="416">
        <f aca="true" t="shared" si="5" ref="O9:O18">IF(N9=0,0,(SVGopmout*N9/100)-ATNfactor)</f>
        <v>80.31818181818181</v>
      </c>
      <c r="P9" s="379">
        <f aca="true" t="shared" si="6" ref="P9:P24">IF(C9=0,0,C9*0.3748+0.6)</f>
        <v>6.2219999999999995</v>
      </c>
      <c r="Q9" s="379">
        <f aca="true" t="shared" si="7" ref="Q9:Q18">C9*E9/8.6</f>
        <v>8.71810881746368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18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485</v>
      </c>
      <c r="B10" s="370">
        <f>VLOOKUP(A10,'Info-Tabellen'!$H:$J,2,0)</f>
        <v>69.25</v>
      </c>
      <c r="C10" s="370">
        <f>VLOOKUP(A10,'Info-Tabellen'!$H:$J,3,0)</f>
        <v>1200</v>
      </c>
      <c r="D10" s="41">
        <f>0.285/40*Gewenste_liters</f>
        <v>0.07125</v>
      </c>
      <c r="E10" s="32">
        <f t="shared" si="4"/>
        <v>0.34223292264605065</v>
      </c>
      <c r="F10" s="33">
        <f t="shared" si="0"/>
        <v>25.92899392422737</v>
      </c>
      <c r="G10" s="276">
        <f t="shared" si="1"/>
        <v>1.575891622891899</v>
      </c>
      <c r="H10" s="277">
        <f t="shared" si="2"/>
        <v>1.3178928656748254</v>
      </c>
      <c r="I10" s="298">
        <f t="shared" si="3"/>
        <v>0.15052026179650843</v>
      </c>
      <c r="J10" s="48">
        <f>SUM($E$19:$E$22)</f>
        <v>2.5778604535479905</v>
      </c>
      <c r="K10" s="47">
        <f>IF(ISNUMBER($J$7),(0.0000152482628*J10*J10+0.0038422807854*J10+1.0000602058824)*1000,"")</f>
        <v>1010.0663998350816</v>
      </c>
      <c r="L10" s="49">
        <f>IF(ISNUMBER($J$10),$J$10,"")</f>
        <v>2.5778604535479905</v>
      </c>
      <c r="M10" s="305"/>
      <c r="N10" s="410">
        <f>IF(D10=0,0,VLOOKUP(A10,'Info-Tabellen'!$H:$K,4,0))</f>
        <v>70</v>
      </c>
      <c r="O10" s="415">
        <f t="shared" si="5"/>
        <v>56.01818181818182</v>
      </c>
      <c r="P10" s="379">
        <f t="shared" si="6"/>
        <v>450.36000000000007</v>
      </c>
      <c r="Q10" s="379">
        <f t="shared" si="7"/>
        <v>47.75343106689079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676</v>
      </c>
      <c r="AA10" s="428"/>
      <c r="AB10" s="42" t="str">
        <f>hop1</f>
        <v>Northern Brewer (B)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19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15</v>
      </c>
      <c r="AA11" s="428"/>
      <c r="AB11" s="496" t="str">
        <f>VLOOKUP(hop1,'Info-Tabellen'!$R:$V,3,0)</f>
        <v>Universele hop, gebruikt als bitterhop. Wordt in donkere bieren gebruikt, De hopbellen zijn van nature wat bruiner.</v>
      </c>
      <c r="AC11" s="496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25.968189946214686</v>
      </c>
      <c r="K12" s="47">
        <f>IF(ISNUMBER($J$7),(0.0000152482628*J12*J12+0.0038422807854*J12+1.0000602058824)*1000,"")</f>
        <v>1110.1199017274532</v>
      </c>
      <c r="L12" s="49">
        <f>IF(ISNUMBER($J$12),$L$7+$L$10,"")</f>
        <v>26.734217997637813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496"/>
      <c r="AC12" s="496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696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677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4.957597345863022</v>
      </c>
      <c r="K14" s="47">
        <f>voorsp_eindSG</f>
        <v>1019.4834552241714</v>
      </c>
      <c r="L14" s="49">
        <f>J14*1.03</f>
        <v>5.106325266238913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241</v>
      </c>
      <c r="AA14" s="428"/>
      <c r="AB14" s="42" t="str">
        <f>hop2</f>
        <v>Hallertauer Mittelfrüh (A)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5.13804757761138</v>
      </c>
      <c r="K15" s="434" t="s">
        <v>678</v>
      </c>
      <c r="L15" s="436">
        <f>SUM(I19:I23)</f>
        <v>-0.18045023174835917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496" t="str">
        <f>VLOOKUP(hop2,'Info-Tabellen'!$R:$V,3,0)</f>
        <v>Mild en aangenaam. Zacht aroma, gemiddelde bitterheid.</v>
      </c>
      <c r="AC15" s="496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17" t="s">
        <v>79</v>
      </c>
      <c r="K16" s="518"/>
      <c r="L16" s="518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683</v>
      </c>
      <c r="AA16" s="428"/>
      <c r="AB16" s="496"/>
      <c r="AC16" s="496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0.9617848128227661</v>
      </c>
      <c r="K17" s="308" t="s">
        <v>625</v>
      </c>
      <c r="L17" s="206">
        <f>(INT(160*Starter/10))*10</f>
        <v>150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6</v>
      </c>
      <c r="K18" s="311" t="s">
        <v>88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 - - Kies hop - -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612</v>
      </c>
      <c r="B19" s="372">
        <f>VLOOKUP(A19,'Info-Tabellen'!$M:$O,2,0)</f>
        <v>99.5</v>
      </c>
      <c r="C19" s="372">
        <f>VLOOKUP(A19,'Info-Tabellen'!$M:$O,3,0)</f>
        <v>0.1</v>
      </c>
      <c r="D19" s="52">
        <f>1.2/40*Gewenste_liters</f>
        <v>0.3</v>
      </c>
      <c r="E19" s="53">
        <f>IF(Gewenste_liters=0,"0",IF(D19=0,"  ",(B19*D19/(Gewenste_liters+hopverlies))))</f>
        <v>2.5778604535479905</v>
      </c>
      <c r="F19" s="54">
        <f>IF(Gewenste_liters=0,"0",IF(D19=0,"  ",B19*D19/100/Gewenste_liters*C19))</f>
        <v>0.002985</v>
      </c>
      <c r="G19" s="55">
        <f t="shared" si="8"/>
        <v>6.635333149018523</v>
      </c>
      <c r="H19" s="55">
        <f t="shared" si="9"/>
        <v>9.926993213186037</v>
      </c>
      <c r="I19" s="300">
        <f t="shared" si="3"/>
        <v>-0.18045023174835917</v>
      </c>
      <c r="J19" s="314" t="s">
        <v>622</v>
      </c>
      <c r="K19" s="208">
        <f>Starter*1.05</f>
        <v>1.0098740534639044</v>
      </c>
      <c r="L19" s="313" t="s">
        <v>623</v>
      </c>
      <c r="M19" s="23"/>
      <c r="N19" s="412">
        <f>IF(D19=0,0,VLOOKUP(A19,'Info-Tabellen'!$M:$P,4,0))</f>
        <v>100</v>
      </c>
      <c r="O19" s="417">
        <f>IF(N19=0,0,(SVGopsuiker*N19/100))</f>
        <v>107</v>
      </c>
      <c r="P19" s="379">
        <f t="shared" si="6"/>
        <v>0.6374799999999999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496">
        <f>VLOOKUP(hop3,'Info-Tabellen'!$R:$V,3,0)</f>
        <v>0</v>
      </c>
      <c r="AC19" s="496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497" t="s">
        <v>624</v>
      </c>
      <c r="K20" s="498"/>
      <c r="L20" s="209">
        <f>Gewenste_liters/21*totplato</f>
        <v>12.365804736292707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496"/>
      <c r="AC20" s="496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26</v>
      </c>
      <c r="K22" s="87">
        <f>($L$27+verlieswater)</f>
        <v>13.269474209299025</v>
      </c>
      <c r="L22" s="87">
        <f>$K$22*1.04</f>
        <v>13.800253177670987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496">
        <f>VLOOKUP(hop4,'Info-Tabellen'!$R:$V,3,0)</f>
        <v>0</v>
      </c>
      <c r="AC23" s="496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651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8.756312488006603</v>
      </c>
      <c r="K24" s="318">
        <f>IF($L$10=0,1.035,$L$12/$J$12)</f>
        <v>1.029498707958072</v>
      </c>
      <c r="L24" s="386">
        <f>IF((Gewenste_liters+(1.7*moutkilos)*1.2)&lt;mashwater,mashwater+verkookwater,($K$22*1.18)+(moutkilos*0.75))</f>
        <v>18.823917066972847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496"/>
      <c r="AC24" s="496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670</v>
      </c>
      <c r="B25" s="5"/>
      <c r="C25" s="69" t="s">
        <v>22</v>
      </c>
      <c r="D25" s="70">
        <f>SUM(D8:D23)</f>
        <v>4.52125</v>
      </c>
      <c r="E25" s="71">
        <f>SUM(E8:E24)</f>
        <v>25.968189946214686</v>
      </c>
      <c r="F25" s="444">
        <f>SUM(F8:F24)</f>
        <v>40.35866788991387</v>
      </c>
      <c r="G25" s="393" t="s">
        <v>665</v>
      </c>
      <c r="H25" s="282"/>
      <c r="I25" s="345">
        <f>SUM(I8:I23)</f>
        <v>4.957597345863022</v>
      </c>
      <c r="J25" s="488" t="s">
        <v>698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699</v>
      </c>
      <c r="E26" s="395">
        <f>StamwortSG</f>
        <v>1110.1199017274532</v>
      </c>
      <c r="F26" s="444">
        <f>IF(kleur=0,0,IF(kleur&lt;2,kleur,kleur+(1.22*Kooktijd/60)))</f>
        <v>41.578667889913866</v>
      </c>
      <c r="G26" s="394" t="s">
        <v>666</v>
      </c>
      <c r="H26" s="384"/>
      <c r="I26" s="346">
        <f>IF(voorsp_eindplato=0,1000,(0.0000152482628*voorsp_eindplato*voorsp_eindplato+0.0038422807854*voorsp_eindplato+1.0000602058824)*1000)</f>
        <v>1019.4834552241714</v>
      </c>
      <c r="J26" s="488" t="s">
        <v>697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21</v>
      </c>
      <c r="G27" s="181" t="s">
        <v>700</v>
      </c>
      <c r="H27" s="343">
        <f>IF((totplato-VSPrestextract)/(2.0665-0.010665*totplato)=0,0,voorsp_eindSG/1000*VSPalcogewicht/0.794/100)</f>
        <v>0.12349354825362474</v>
      </c>
      <c r="I27" s="347" t="s">
        <v>628</v>
      </c>
      <c r="J27" s="329"/>
      <c r="K27" s="134" t="s">
        <v>633</v>
      </c>
      <c r="L27" s="387">
        <f>Gewenste_liters*(1+VSPalcvol/4)</f>
        <v>10.308733870634061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496">
        <f>VLOOKUP(hop5,'Info-Tabellen'!$R:$V,3,0)</f>
        <v>0</v>
      </c>
      <c r="AC27" s="496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23</v>
      </c>
      <c r="B28" s="76">
        <f>moutkilos*mashfactor*1.02</f>
        <v>15.069862500000001</v>
      </c>
      <c r="C28" s="77" t="s">
        <v>24</v>
      </c>
      <c r="D28" s="334">
        <f>IF(moutkilos=0,55,IF(Aardbier=1,($B$30+tempverlies)*ketelinvloed/100,($B$29+tempverlies)*ketelinvloed/100))</f>
        <v>67.69913962714273</v>
      </c>
      <c r="E28" s="494" t="s">
        <v>680</v>
      </c>
      <c r="F28" s="495"/>
      <c r="G28" s="438"/>
      <c r="H28" s="23"/>
      <c r="I28" s="399" t="s">
        <v>679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496"/>
      <c r="AC28" s="496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63</v>
      </c>
      <c r="C29" s="80">
        <f>IF(Aardbier=1,"dus geen ",IF(Eiwitrust="J","± 2° C",""))</f>
      </c>
      <c r="D29" s="81">
        <f>IF(Aardbier=1,"eiwitrust   ",IF(Eiwitrust="J",K5,""))</f>
      </c>
      <c r="E29" s="439"/>
      <c r="F29" s="440"/>
      <c r="G29" s="530"/>
      <c r="H29" s="531"/>
      <c r="I29" s="532"/>
      <c r="L29" s="145" t="s">
        <v>682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v>20</v>
      </c>
      <c r="E30" s="441"/>
      <c r="F30" s="442"/>
      <c r="G30" s="533"/>
      <c r="H30" s="531"/>
      <c r="I30" s="532"/>
      <c r="J30" s="332" t="s">
        <v>635</v>
      </c>
      <c r="K30" s="134"/>
      <c r="L30" s="250">
        <f>IF(moutkilos=0,"",moutkilos+mashwater)</f>
        <v>19.2911125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 t="str">
        <f>IF(Aardbier="D","Gemengde amylase ",IF(Aardbier="Z","Ga snel naar volgende stap",""))</f>
        <v>Ga snel naar volgende stap</v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534"/>
      <c r="H31" s="531"/>
      <c r="I31" s="532"/>
      <c r="J31" s="330" t="s">
        <v>649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496">
        <f>VLOOKUP(hop6,'Info-Tabellen'!$R:$V,3,0)</f>
        <v>0</v>
      </c>
      <c r="AC31" s="496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v>45</v>
      </c>
      <c r="G32" s="535"/>
      <c r="H32" s="531"/>
      <c r="I32" s="532"/>
      <c r="J32" s="331" t="s">
        <v>636</v>
      </c>
      <c r="K32" s="97"/>
      <c r="L32" s="145" t="s">
        <v>650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496"/>
      <c r="AC32" s="496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3.7540545669728456</v>
      </c>
      <c r="F33" s="95" t="s">
        <v>30</v>
      </c>
      <c r="G33" s="419" t="s">
        <v>609</v>
      </c>
      <c r="H33" s="96"/>
      <c r="I33" s="96"/>
      <c r="L33" s="98">
        <f>$L$22/6.5</f>
        <v>2.123115873487844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31</v>
      </c>
      <c r="B34" s="100">
        <f>259/(259.12955-C34)*1000</f>
        <v>1037.258560448129</v>
      </c>
      <c r="C34" s="101">
        <f>IF(mashplato&lt;13.4,3,mashplato*mashplato/58)</f>
        <v>9.432888168543336</v>
      </c>
      <c r="D34" s="102">
        <f>C34*1.035</f>
        <v>9.763039254442353</v>
      </c>
      <c r="F34" s="12"/>
      <c r="G34" s="537" t="s">
        <v>641</v>
      </c>
      <c r="H34" s="538"/>
      <c r="I34" s="539"/>
      <c r="J34" s="103" t="s">
        <v>32</v>
      </c>
      <c r="K34" s="103" t="s">
        <v>33</v>
      </c>
      <c r="L34" s="104" t="s">
        <v>34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21" t="s">
        <v>35</v>
      </c>
      <c r="AC34" s="521"/>
      <c r="AD34" s="2"/>
      <c r="AR34" s="427"/>
      <c r="AS34" s="427"/>
      <c r="AT34" s="2"/>
    </row>
    <row r="35" spans="1:46" ht="12" customHeight="1">
      <c r="A35" s="106" t="s">
        <v>36</v>
      </c>
      <c r="B35" s="103" t="s">
        <v>37</v>
      </c>
      <c r="C35" s="107" t="s">
        <v>38</v>
      </c>
      <c r="D35" s="108" t="s">
        <v>39</v>
      </c>
      <c r="E35" s="107" t="s">
        <v>40</v>
      </c>
      <c r="F35" s="109" t="s">
        <v>41</v>
      </c>
      <c r="G35" s="507" t="s">
        <v>42</v>
      </c>
      <c r="H35" s="508"/>
      <c r="I35" s="509"/>
      <c r="J35" s="110"/>
      <c r="K35" s="111" t="str">
        <f>VLOOKUP(G35,'Info-Tabellen'!$AD:$AF,2,0)</f>
        <v>-</v>
      </c>
      <c r="L35" s="112"/>
      <c r="M35" s="23"/>
      <c r="O35" s="145" t="s">
        <v>643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0" t="str">
        <f>VLOOKUP(G35,'Info-Tabellen'!$AD:$AF,3,0)</f>
        <v>-</v>
      </c>
      <c r="AC35" s="510"/>
      <c r="AD35" s="2"/>
      <c r="AR35" s="427"/>
      <c r="AS35" s="427"/>
      <c r="AT35" s="2"/>
    </row>
    <row r="36" spans="1:46" ht="12" customHeight="1">
      <c r="A36" s="113" t="s">
        <v>331</v>
      </c>
      <c r="B36" s="114" t="s">
        <v>672</v>
      </c>
      <c r="C36" s="115">
        <v>11</v>
      </c>
      <c r="D36" s="362">
        <f>VLOOKUP(hop1,'Info-Tabellen'!$R:$T,2,0)</f>
        <v>10.2</v>
      </c>
      <c r="E36" s="353" t="s">
        <v>710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15.669927841304244</v>
      </c>
      <c r="G36" s="507" t="s">
        <v>42</v>
      </c>
      <c r="H36" s="508"/>
      <c r="I36" s="509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0.02937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1" t="str">
        <f>VLOOKUP(G36,'Info-Tabellen'!$AD:$AF,3,0)</f>
        <v>-</v>
      </c>
      <c r="AC36" s="511"/>
      <c r="AD36" s="2"/>
      <c r="AR36" s="427"/>
      <c r="AS36" s="427"/>
      <c r="AT36" s="2"/>
    </row>
    <row r="37" spans="1:46" ht="12" customHeight="1">
      <c r="A37" s="121" t="s">
        <v>248</v>
      </c>
      <c r="B37" s="122" t="s">
        <v>44</v>
      </c>
      <c r="C37" s="123">
        <f>100/40*Gewenste_liters</f>
        <v>25</v>
      </c>
      <c r="D37" s="363">
        <v>4.6</v>
      </c>
      <c r="E37" s="124">
        <f>Kooktijd-10</f>
        <v>50</v>
      </c>
      <c r="F37" s="125">
        <f t="shared" si="10"/>
        <v>5.603286135764136</v>
      </c>
      <c r="G37" s="507" t="s">
        <v>42</v>
      </c>
      <c r="H37" s="508"/>
      <c r="I37" s="509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0.15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0" t="str">
        <f>VLOOKUP(G37,'Info-Tabellen'!$AD:$AF,3,0)</f>
        <v>-</v>
      </c>
      <c r="AC37" s="510"/>
      <c r="AD37" s="2"/>
      <c r="AR37" s="427"/>
      <c r="AS37" s="427"/>
      <c r="AT37" s="2"/>
    </row>
    <row r="38" spans="1:52" ht="12" customHeight="1">
      <c r="A38" s="113" t="s">
        <v>43</v>
      </c>
      <c r="B38" s="114" t="s">
        <v>44</v>
      </c>
      <c r="C38" s="115"/>
      <c r="D38" s="362">
        <f>VLOOKUP(hop3,'Info-Tabellen'!$R:$T,2,0)</f>
        <v>0</v>
      </c>
      <c r="E38" s="117"/>
      <c r="F38" s="118">
        <f t="shared" si="10"/>
      </c>
      <c r="G38" s="507" t="s">
        <v>42</v>
      </c>
      <c r="H38" s="508"/>
      <c r="I38" s="509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1" t="str">
        <f>VLOOKUP(G38,'Info-Tabellen'!$AD:$AF,3,0)</f>
        <v>-</v>
      </c>
      <c r="AC38" s="511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43</v>
      </c>
      <c r="B39" s="122" t="s">
        <v>672</v>
      </c>
      <c r="C39" s="127"/>
      <c r="D39" s="363">
        <f>VLOOKUP(hop4,'Info-Tabellen'!$R:$T,2,0)</f>
        <v>0</v>
      </c>
      <c r="E39" s="128"/>
      <c r="F39" s="125">
        <f t="shared" si="10"/>
      </c>
      <c r="G39" s="507" t="s">
        <v>42</v>
      </c>
      <c r="H39" s="508"/>
      <c r="I39" s="509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0" t="str">
        <f>VLOOKUP(G39,'Info-Tabellen'!$AD:$AF,3,0)</f>
        <v>-</v>
      </c>
      <c r="AC39" s="510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43</v>
      </c>
      <c r="B40" s="114" t="s">
        <v>672</v>
      </c>
      <c r="C40" s="115"/>
      <c r="D40" s="362">
        <f>VLOOKUP(hop5,'Info-Tabellen'!$R:$T,2,0)</f>
        <v>0</v>
      </c>
      <c r="E40" s="117"/>
      <c r="F40" s="118">
        <f t="shared" si="10"/>
      </c>
      <c r="G40" s="507" t="s">
        <v>42</v>
      </c>
      <c r="H40" s="508"/>
      <c r="I40" s="509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1" t="str">
        <f>VLOOKUP(G40,'Info-Tabellen'!$AD:$AF,3,0)</f>
        <v>-</v>
      </c>
      <c r="AC40" s="511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43</v>
      </c>
      <c r="B41" s="122" t="s">
        <v>44</v>
      </c>
      <c r="C41" s="129"/>
      <c r="D41" s="364">
        <f>VLOOKUP(hop6,'Info-Tabellen'!$R:$T,2,0)</f>
        <v>0</v>
      </c>
      <c r="E41" s="130"/>
      <c r="F41" s="131">
        <f t="shared" si="10"/>
      </c>
      <c r="G41" s="507" t="s">
        <v>42</v>
      </c>
      <c r="H41" s="508"/>
      <c r="I41" s="509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0" t="str">
        <f>VLOOKUP(G41,'Info-Tabellen'!$AD:$AF,3,0)</f>
        <v>-</v>
      </c>
      <c r="AC41" s="510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45</v>
      </c>
      <c r="B42" s="354" t="s">
        <v>652</v>
      </c>
      <c r="C42" s="325"/>
      <c r="D42" s="132">
        <v>6</v>
      </c>
      <c r="E42" s="322" t="s">
        <v>46</v>
      </c>
      <c r="F42" s="133" t="str">
        <f>IF(C42=0,"  ",C42*D42/Gewenste_liters)</f>
        <v>  </v>
      </c>
      <c r="G42" s="507" t="s">
        <v>42</v>
      </c>
      <c r="H42" s="508"/>
      <c r="I42" s="509"/>
      <c r="J42" s="116"/>
      <c r="K42" s="119" t="str">
        <f>VLOOKUP(G42,'Info-Tabellen'!$AD:$AF,2,0)</f>
        <v>-</v>
      </c>
      <c r="L42" s="120"/>
      <c r="M42" s="23"/>
      <c r="N42" s="398" t="s">
        <v>47</v>
      </c>
      <c r="O42" s="480">
        <f>Vast_verlies</f>
        <v>1.4</v>
      </c>
      <c r="P42" s="376" t="s">
        <v>48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1" t="str">
        <f>VLOOKUP(G42,'Info-Tabellen'!$AD:$AF,3,0)</f>
        <v>-</v>
      </c>
      <c r="AC42" s="511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24" t="s">
        <v>49</v>
      </c>
      <c r="E43" s="525"/>
      <c r="F43" s="321">
        <f>SUM(F36:F42)</f>
        <v>21.27321397706838</v>
      </c>
      <c r="G43" s="507" t="s">
        <v>42</v>
      </c>
      <c r="H43" s="508"/>
      <c r="I43" s="509"/>
      <c r="J43" s="135"/>
      <c r="K43" s="136" t="str">
        <f>VLOOKUP(G43,'Info-Tabellen'!$AD:$AF,2,0)</f>
        <v>-</v>
      </c>
      <c r="L43" s="137"/>
      <c r="M43" s="23"/>
      <c r="N43" s="398" t="s">
        <v>50</v>
      </c>
      <c r="O43" s="480">
        <f>SUM(O36:O42)</f>
        <v>1.57937</v>
      </c>
      <c r="P43" s="376" t="s">
        <v>48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0" t="str">
        <f>VLOOKUP(G43,'Info-Tabellen'!$AD:$AF,3,0)</f>
        <v>-</v>
      </c>
      <c r="AC43" s="510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20</v>
      </c>
      <c r="D44" s="138" t="s">
        <v>632</v>
      </c>
      <c r="F44" s="140"/>
      <c r="H44" s="139" t="s">
        <v>51</v>
      </c>
      <c r="I44" s="141"/>
      <c r="M44" s="23"/>
      <c r="N44" s="398" t="s">
        <v>52</v>
      </c>
      <c r="O44" s="481">
        <f>verkookpercent/100*Kooktijd/60*$L$27</f>
        <v>1.3813703386649643</v>
      </c>
      <c r="P44" s="391" t="s">
        <v>684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53</v>
      </c>
      <c r="B45" s="144"/>
      <c r="C45" s="145" t="s">
        <v>54</v>
      </c>
      <c r="D45" s="146"/>
      <c r="E45" s="147" t="s">
        <v>55</v>
      </c>
      <c r="F45" s="148"/>
      <c r="G45" s="491">
        <f>Stamwort/1000</f>
        <v>1.06</v>
      </c>
      <c r="H45" s="149">
        <v>0</v>
      </c>
      <c r="I45" s="149"/>
      <c r="J45" s="151">
        <f>IF(Stamplato="","",IF(Eindcijfer="","",0.1808*Stamplato+0.8192*Eindplato))</f>
        <v>7.026182261567618</v>
      </c>
      <c r="L45" s="150">
        <f>IF(Stamwort="","",1+(Stamplato/(258.6-0.87955*Stamplato)))</f>
        <v>1.0600046531797402</v>
      </c>
      <c r="M45" s="23"/>
      <c r="O45" s="207"/>
      <c r="P45" s="376" t="s">
        <v>685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57</v>
      </c>
      <c r="B46" s="155" t="s">
        <v>704</v>
      </c>
      <c r="C46" s="156">
        <v>1060</v>
      </c>
      <c r="D46" s="157">
        <f>IF(Stamwort="","SG",IF(meter="S.G.",Stamwort,IF(meter="°Plato",(0.0000152482628*Stamwort*Stamwort+0.0038422807854*Stamwort+1.0000602058824)*1000,IF(meter="Brix",259/(259.12955-Stamplato)*1000))))</f>
        <v>1060</v>
      </c>
      <c r="E46" s="527">
        <f>IF(Stamwort="","°Plato",IF(meter="°Plato",Stamwort,IF(meter="S.G.",(164.22197*$G$45*$G$45*$G$45-717.63578*$G$45*$G$45+1201.22307*$G$45-647.81258),IF(meter="Brix",Stamwort/Brixratio))))</f>
        <v>14.739305613519946</v>
      </c>
      <c r="F46" s="527"/>
      <c r="G46" s="528">
        <f>IF(Stamwort="","Brix",IF(meter="Brix",Stamwort,IF(meter="°Plato",Stamwort*Brixratio,IF(meter="S.G.",Stamplato*Brixratio))))</f>
        <v>15.174096085317942</v>
      </c>
      <c r="H46" s="528"/>
      <c r="K46" s="483" t="s">
        <v>689</v>
      </c>
      <c r="L46" s="158">
        <v>12.5</v>
      </c>
      <c r="M46" s="23"/>
      <c r="N46" s="407" t="s">
        <v>56</v>
      </c>
      <c r="O46" s="478">
        <f>verkookwater+hopverlies</f>
        <v>2.960740338664964</v>
      </c>
      <c r="P46" s="390" t="s">
        <v>686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58</v>
      </c>
      <c r="D47" s="162">
        <v>1019.3</v>
      </c>
      <c r="G47" s="163" t="s">
        <v>59</v>
      </c>
      <c r="H47" s="164"/>
      <c r="I47" s="286" t="s">
        <v>597</v>
      </c>
      <c r="K47" s="529">
        <v>41592</v>
      </c>
      <c r="L47" s="529"/>
      <c r="M47" s="23"/>
      <c r="O47" s="207"/>
      <c r="P47" s="390" t="s">
        <v>687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60</v>
      </c>
      <c r="C48" s="165" t="s">
        <v>711</v>
      </c>
      <c r="G48" s="19" t="s">
        <v>61</v>
      </c>
      <c r="H48" s="155" t="s">
        <v>704</v>
      </c>
      <c r="I48" s="266"/>
      <c r="K48" s="166" t="s">
        <v>598</v>
      </c>
      <c r="L48" s="156">
        <v>1036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4.039753793801967</v>
      </c>
      <c r="F49" s="167">
        <f>IF(ISNUMBER(alconalager),12-(alconalager*100/1.97),"")</f>
        <v>9.363614746824743</v>
      </c>
      <c r="G49" s="490">
        <f>IF(Eindcijfer="","°Plato",IF(meternadien="°Plato",Eindcijfer,IF(meternadien="S.G.",(259*Eindcijfer/1000-259)/(Eindcijfer/1000-0.0089),Eindcijfer/1.03)))</f>
        <v>9.07798656411256</v>
      </c>
      <c r="H49" s="540">
        <f>IF(Eindcijfer="","Brix",IF(meternadien="Brix",Eindcijfer,IF(meternadien="°Plato",Eindcijfer*Brixratio,IF(meternadien="S.G.",VLeindplato*Brixratio))))</f>
        <v>9.345775438614618</v>
      </c>
      <c r="I49" s="540"/>
      <c r="J49" s="540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1036</v>
      </c>
      <c r="L49" s="487">
        <f>IF(alconalager="","",IF(kleur&gt;107,6,((35000-(kleur^2))/3888)))</f>
        <v>8.583121894586325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5.323871834281263</v>
      </c>
      <c r="C50" s="170" t="s">
        <v>62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1020.8001021345972</v>
      </c>
      <c r="F50" s="172"/>
      <c r="J50" s="134" t="s">
        <v>63</v>
      </c>
      <c r="K50" s="173">
        <f>IF(Totaalkg=0,"",IF(Bekomenliter="","",IF(Stamwort="","",StamSG/1000*Bekomenliter*totplato/(Totaalkg)/100)))</f>
        <v>0.7610251961013981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64</v>
      </c>
      <c r="B51" s="175">
        <f>IF(Stamwort="","",IF(Eindcijfer="","",((StamSG-EindSG)/(StamSG-1000))))</f>
        <v>0.653331631090047</v>
      </c>
      <c r="C51" s="176" t="s">
        <v>65</v>
      </c>
      <c r="E51" s="177"/>
      <c r="F51" s="175">
        <f>IF(Eindcijfer="","",IF(Stamplato="","",(Stamplato-Restextract)/Stamplato))</f>
        <v>0.5233030343625754</v>
      </c>
      <c r="G51" s="178">
        <f>IF(alcogewicht="","",IF(Eindcijfer="","",IF(Bekomenliter="","",EindSG/1000*alcogewicht/0.794/100)))</f>
        <v>0.051936789487552565</v>
      </c>
      <c r="H51" s="179" t="s">
        <v>25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0.9668233561877568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66</v>
      </c>
      <c r="B52" s="185">
        <f>IF($G$53="J",$K$53,IF(alconalager="","",IF(kleur&gt;50,botsuikervlgskleur,botsuikervlgsalco)))</f>
        <v>8</v>
      </c>
      <c r="D52" s="186" t="s">
        <v>67</v>
      </c>
      <c r="E52" s="187">
        <v>22</v>
      </c>
      <c r="F52"/>
      <c r="G52" s="188" t="s">
        <v>68</v>
      </c>
      <c r="H52" s="189" t="s">
        <v>712</v>
      </c>
      <c r="I52" s="287"/>
      <c r="J52" s="19" t="s">
        <v>629</v>
      </c>
      <c r="K52" s="523" t="s">
        <v>714</v>
      </c>
      <c r="L52" s="523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69</v>
      </c>
      <c r="B53" s="526" t="s">
        <v>70</v>
      </c>
      <c r="C53" s="526"/>
      <c r="F53" s="134" t="s">
        <v>71</v>
      </c>
      <c r="G53" s="60" t="s">
        <v>713</v>
      </c>
      <c r="J53" s="134" t="s">
        <v>72</v>
      </c>
      <c r="K53" s="320">
        <v>8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73</v>
      </c>
      <c r="B54" s="191">
        <f>IF(Eindcijfer="","",IF(suikersoort="Kristalsuiker",adviessuiker,IF(suikersoort="Dextrose",adviessuiker/0.93,adviessuiker/0.975)))</f>
        <v>8</v>
      </c>
      <c r="C54" s="192" t="s">
        <v>74</v>
      </c>
      <c r="D54" s="193">
        <f>IF(Eindcijfer="","",IF(adviessuiker="","",suikergift*Bekomenliter))</f>
        <v>100</v>
      </c>
      <c r="F54" s="195">
        <f>IF(Eindcijfer="","",IF(adviessuiker-nietvergist&lt;0,"GEEN",suikergift-nietvergist))</f>
        <v>7.033176643812244</v>
      </c>
      <c r="G54" s="194"/>
      <c r="H54" s="289" t="s">
        <v>75</v>
      </c>
      <c r="I54" s="196">
        <f>IF(Eindcijfer="","",IF(adviessuiker-nietvergist&lt;0,"",(suikergift-nietvergist)*Bekomenliter))</f>
        <v>87.91470804765305</v>
      </c>
      <c r="J54" s="288" t="str">
        <f>IF(Eindcijfer="","",IF(suikergift=corsuiker,"Suikergift blijft dezelfde: ","Indien restsuiker verder kan uitgisten:"))</f>
        <v>Indien restsuiker verder kan uitgisten: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76</v>
      </c>
      <c r="B55" s="198">
        <f>IF(ISNUMBER(alconalager),alconalager+(adviessuiker/16.5/100),"")</f>
        <v>0.05678527433603742</v>
      </c>
      <c r="C55" s="199"/>
      <c r="D55" s="200" t="s">
        <v>77</v>
      </c>
      <c r="E55" s="522">
        <f>IF($B$55="","",IF(Botdatum="","",IF($B$55*100&lt;5,((($B$55*100)-5)*30)+215+Botdatum,((($B$55*100)-5)*130)+215+Botdatum)))</f>
        <v>41904.208566368485</v>
      </c>
      <c r="F55" s="522"/>
      <c r="G55" s="201" t="s">
        <v>78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203"/>
      <c r="C56" s="203"/>
      <c r="D56" s="203"/>
      <c r="E56" s="351" t="s">
        <v>648</v>
      </c>
      <c r="F56" s="482" t="s">
        <v>702</v>
      </c>
      <c r="G56" s="350" t="s">
        <v>703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705</v>
      </c>
      <c r="B57" s="492">
        <f>Gewenste_liters</f>
        <v>10</v>
      </c>
      <c r="C57" s="176"/>
      <c r="D57" s="493" t="s">
        <v>706</v>
      </c>
      <c r="E57" s="503">
        <f>ROUNDDOWN(B57/0.33/24,0)</f>
        <v>1</v>
      </c>
      <c r="F57" s="504"/>
      <c r="G57" s="505">
        <f>((B57/0.33/24)-E57)*24</f>
        <v>6.303030303030301</v>
      </c>
      <c r="H57" s="506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81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82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83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84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85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86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87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681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662</v>
      </c>
      <c r="B72" s="536" t="s">
        <v>638</v>
      </c>
      <c r="C72" s="536"/>
      <c r="D72" s="536"/>
      <c r="E72" s="536"/>
      <c r="F72" s="536"/>
      <c r="G72" s="536"/>
      <c r="H72" s="536"/>
      <c r="I72" s="536"/>
      <c r="J72" s="536"/>
      <c r="K72" s="536"/>
      <c r="L72" s="536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661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667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663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688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AB39:AC39"/>
    <mergeCell ref="AB23:AC24"/>
    <mergeCell ref="AB35:AC35"/>
    <mergeCell ref="AB36:AC36"/>
    <mergeCell ref="AB31:AC32"/>
    <mergeCell ref="AB34:AC34"/>
    <mergeCell ref="AB27:AC2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N1">
      <pane ySplit="2" topLeftCell="A3" activePane="bottomLeft" state="frozen"/>
      <selection pane="topLeft" activeCell="A1" sqref="A1"/>
      <selection pane="bottomLeft" activeCell="S19" sqref="S19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89</v>
      </c>
      <c r="B1" s="251"/>
      <c r="C1" s="252"/>
      <c r="D1" s="251"/>
      <c r="E1" s="253"/>
      <c r="F1" s="251"/>
      <c r="G1" s="257"/>
      <c r="H1" s="255" t="s">
        <v>90</v>
      </c>
      <c r="I1" s="254"/>
      <c r="J1" s="254"/>
      <c r="K1" s="254"/>
      <c r="L1" s="257"/>
      <c r="M1" s="255" t="s">
        <v>91</v>
      </c>
      <c r="N1" s="251"/>
      <c r="O1" s="251"/>
      <c r="P1" s="254"/>
      <c r="Q1" s="257"/>
      <c r="R1" s="251" t="s">
        <v>92</v>
      </c>
      <c r="S1" s="255"/>
      <c r="T1" s="258"/>
      <c r="U1" s="251"/>
      <c r="V1" s="251"/>
      <c r="W1" s="257"/>
      <c r="X1" s="255" t="s">
        <v>93</v>
      </c>
      <c r="Y1" s="251"/>
      <c r="Z1" s="251"/>
      <c r="AA1" s="251"/>
      <c r="AB1" s="255"/>
      <c r="AC1" s="257"/>
      <c r="AD1" s="259" t="s">
        <v>94</v>
      </c>
      <c r="AE1" s="251"/>
      <c r="AF1" s="255"/>
      <c r="AG1" s="257"/>
    </row>
    <row r="2" spans="1:33" s="231" customFormat="1" ht="52.5" customHeight="1">
      <c r="A2" s="227" t="s">
        <v>95</v>
      </c>
      <c r="B2" s="228" t="s">
        <v>96</v>
      </c>
      <c r="C2" s="229" t="s">
        <v>97</v>
      </c>
      <c r="D2" s="228" t="s">
        <v>98</v>
      </c>
      <c r="E2" s="227" t="s">
        <v>99</v>
      </c>
      <c r="F2" s="228" t="s">
        <v>100</v>
      </c>
      <c r="G2" s="230"/>
      <c r="H2" s="297" t="s">
        <v>616</v>
      </c>
      <c r="I2" s="232" t="s">
        <v>101</v>
      </c>
      <c r="J2" s="232" t="s">
        <v>102</v>
      </c>
      <c r="K2" s="285" t="s">
        <v>642</v>
      </c>
      <c r="L2" s="230"/>
      <c r="M2" s="297" t="s">
        <v>617</v>
      </c>
      <c r="N2" s="228" t="s">
        <v>101</v>
      </c>
      <c r="O2" s="228" t="s">
        <v>102</v>
      </c>
      <c r="P2" s="285" t="s">
        <v>615</v>
      </c>
      <c r="Q2" s="230"/>
      <c r="R2" s="228" t="s">
        <v>103</v>
      </c>
      <c r="S2" s="231" t="s">
        <v>104</v>
      </c>
      <c r="T2" s="228" t="s">
        <v>105</v>
      </c>
      <c r="U2" s="228" t="s">
        <v>106</v>
      </c>
      <c r="V2" s="228" t="s">
        <v>107</v>
      </c>
      <c r="W2" s="230"/>
      <c r="X2" s="231" t="s">
        <v>95</v>
      </c>
      <c r="Y2" s="228" t="s">
        <v>108</v>
      </c>
      <c r="Z2" s="228" t="s">
        <v>109</v>
      </c>
      <c r="AA2" s="228" t="s">
        <v>110</v>
      </c>
      <c r="AB2" s="231" t="s">
        <v>111</v>
      </c>
      <c r="AC2" s="230"/>
      <c r="AD2" s="231" t="s">
        <v>95</v>
      </c>
      <c r="AE2" s="228" t="s">
        <v>33</v>
      </c>
      <c r="AF2" s="231" t="s">
        <v>112</v>
      </c>
      <c r="AG2" s="230"/>
    </row>
    <row r="3" spans="1:32" ht="12.75">
      <c r="A3" t="s">
        <v>113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20</v>
      </c>
      <c r="N3" s="235"/>
      <c r="O3" s="235"/>
      <c r="P3" s="234"/>
      <c r="R3" s="236" t="s">
        <v>43</v>
      </c>
      <c r="S3" s="237"/>
      <c r="T3" s="238"/>
      <c r="U3" s="238"/>
      <c r="V3" s="238"/>
      <c r="X3" s="233" t="s">
        <v>114</v>
      </c>
      <c r="Y3" s="235">
        <v>73</v>
      </c>
      <c r="Z3" s="235">
        <v>106</v>
      </c>
      <c r="AA3" s="235">
        <v>20</v>
      </c>
      <c r="AB3" s="233" t="s">
        <v>115</v>
      </c>
      <c r="AD3" s="233" t="s">
        <v>42</v>
      </c>
      <c r="AE3" s="235" t="s">
        <v>116</v>
      </c>
      <c r="AF3" s="233" t="s">
        <v>116</v>
      </c>
    </row>
    <row r="4" spans="1:32" ht="12.75">
      <c r="A4" t="s">
        <v>117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118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119</v>
      </c>
      <c r="S4" s="237">
        <v>14</v>
      </c>
      <c r="T4" s="238" t="s">
        <v>120</v>
      </c>
      <c r="U4" s="238" t="s">
        <v>121</v>
      </c>
      <c r="V4" s="238" t="s">
        <v>122</v>
      </c>
      <c r="X4" s="233" t="s">
        <v>123</v>
      </c>
      <c r="Y4" s="235">
        <v>71</v>
      </c>
      <c r="Z4" s="235">
        <v>107</v>
      </c>
      <c r="AA4" s="235">
        <v>20</v>
      </c>
      <c r="AB4" s="233" t="s">
        <v>124</v>
      </c>
      <c r="AD4" s="233" t="s">
        <v>125</v>
      </c>
      <c r="AE4" s="235" t="s">
        <v>126</v>
      </c>
      <c r="AF4" s="233" t="s">
        <v>127</v>
      </c>
    </row>
    <row r="5" spans="1:32" ht="12.75">
      <c r="A5" t="s">
        <v>128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129</v>
      </c>
      <c r="I5" s="234">
        <v>83.5</v>
      </c>
      <c r="J5" s="234">
        <v>2.7</v>
      </c>
      <c r="K5" s="234">
        <v>100</v>
      </c>
      <c r="M5" s="233" t="s">
        <v>130</v>
      </c>
      <c r="N5" s="235">
        <v>99.55</v>
      </c>
      <c r="O5" s="235">
        <v>30</v>
      </c>
      <c r="P5" s="234">
        <v>99.5</v>
      </c>
      <c r="R5" s="238" t="s">
        <v>131</v>
      </c>
      <c r="S5" s="237">
        <v>8.2</v>
      </c>
      <c r="T5" s="238" t="s">
        <v>132</v>
      </c>
      <c r="U5" s="238" t="s">
        <v>133</v>
      </c>
      <c r="V5" s="238" t="s">
        <v>134</v>
      </c>
      <c r="X5" s="233" t="s">
        <v>135</v>
      </c>
      <c r="Y5" s="235">
        <v>68</v>
      </c>
      <c r="Z5" s="235">
        <v>106</v>
      </c>
      <c r="AA5" s="235">
        <v>20</v>
      </c>
      <c r="AB5" s="233" t="s">
        <v>136</v>
      </c>
      <c r="AD5" s="233" t="s">
        <v>137</v>
      </c>
      <c r="AE5" s="235" t="s">
        <v>126</v>
      </c>
      <c r="AF5" s="233" t="s">
        <v>138</v>
      </c>
    </row>
    <row r="6" spans="1:32" ht="12.75">
      <c r="A6" t="s">
        <v>139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140</v>
      </c>
      <c r="I6" s="234">
        <v>75</v>
      </c>
      <c r="J6" s="234">
        <v>4</v>
      </c>
      <c r="K6" s="234">
        <v>100</v>
      </c>
      <c r="M6" s="233" t="s">
        <v>141</v>
      </c>
      <c r="N6" s="235">
        <v>99.55</v>
      </c>
      <c r="O6" s="235">
        <v>10.005021607606587</v>
      </c>
      <c r="P6" s="234">
        <v>100</v>
      </c>
      <c r="R6" s="238" t="s">
        <v>142</v>
      </c>
      <c r="S6" s="237">
        <v>6.4</v>
      </c>
      <c r="T6" s="238" t="s">
        <v>143</v>
      </c>
      <c r="U6" s="238" t="s">
        <v>144</v>
      </c>
      <c r="V6" s="238" t="s">
        <v>145</v>
      </c>
      <c r="X6" s="261" t="s">
        <v>645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147</v>
      </c>
      <c r="AE6" s="235" t="s">
        <v>148</v>
      </c>
      <c r="AF6" s="233" t="s">
        <v>149</v>
      </c>
    </row>
    <row r="7" spans="1:32" ht="12.75">
      <c r="A7" t="s">
        <v>150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151</v>
      </c>
      <c r="I7" s="234">
        <v>80.07</v>
      </c>
      <c r="J7" s="234">
        <v>8</v>
      </c>
      <c r="K7" s="234">
        <v>100</v>
      </c>
      <c r="M7" s="233" t="s">
        <v>152</v>
      </c>
      <c r="N7" s="235">
        <v>68</v>
      </c>
      <c r="O7" s="235">
        <v>100</v>
      </c>
      <c r="P7" s="234">
        <v>93</v>
      </c>
      <c r="R7" s="238" t="s">
        <v>153</v>
      </c>
      <c r="S7" s="237">
        <v>6</v>
      </c>
      <c r="T7" s="238" t="s">
        <v>154</v>
      </c>
      <c r="U7" s="238" t="s">
        <v>155</v>
      </c>
      <c r="V7" s="238" t="s">
        <v>156</v>
      </c>
      <c r="X7" s="261" t="s">
        <v>644</v>
      </c>
      <c r="Y7" s="235">
        <v>69</v>
      </c>
      <c r="Z7" s="235">
        <v>107</v>
      </c>
      <c r="AA7" s="235" t="s">
        <v>146</v>
      </c>
      <c r="AB7" s="261" t="s">
        <v>587</v>
      </c>
      <c r="AD7" s="233" t="s">
        <v>159</v>
      </c>
      <c r="AE7" s="235" t="s">
        <v>126</v>
      </c>
      <c r="AF7" s="233" t="s">
        <v>160</v>
      </c>
    </row>
    <row r="8" spans="1:32" ht="12.75">
      <c r="A8" t="s">
        <v>161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162</v>
      </c>
      <c r="I8" s="234">
        <v>80.07</v>
      </c>
      <c r="J8" s="234">
        <v>15</v>
      </c>
      <c r="K8" s="234">
        <v>100</v>
      </c>
      <c r="M8" s="233" t="s">
        <v>163</v>
      </c>
      <c r="N8" s="235">
        <v>92.3</v>
      </c>
      <c r="O8" s="235">
        <v>0.1</v>
      </c>
      <c r="P8" s="234">
        <v>100</v>
      </c>
      <c r="R8" s="238" t="s">
        <v>646</v>
      </c>
      <c r="S8" s="237">
        <v>7.5</v>
      </c>
      <c r="T8" s="238" t="s">
        <v>164</v>
      </c>
      <c r="U8" s="238" t="s">
        <v>165</v>
      </c>
      <c r="V8" s="238" t="s">
        <v>166</v>
      </c>
      <c r="X8" s="261" t="s">
        <v>692</v>
      </c>
      <c r="Y8" s="235">
        <v>82</v>
      </c>
      <c r="Z8" s="235">
        <v>107</v>
      </c>
      <c r="AA8" s="235" t="s">
        <v>691</v>
      </c>
      <c r="AB8" s="261" t="s">
        <v>693</v>
      </c>
      <c r="AD8" s="233" t="s">
        <v>169</v>
      </c>
      <c r="AE8" s="235" t="s">
        <v>126</v>
      </c>
      <c r="AF8" s="233" t="s">
        <v>170</v>
      </c>
    </row>
    <row r="9" spans="1:32" ht="12.75">
      <c r="A9" t="s">
        <v>171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172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647</v>
      </c>
      <c r="S9" s="237">
        <v>8</v>
      </c>
      <c r="T9" s="238" t="s">
        <v>164</v>
      </c>
      <c r="U9" s="238" t="s">
        <v>165</v>
      </c>
      <c r="V9" s="238" t="s">
        <v>166</v>
      </c>
      <c r="X9" s="233" t="s">
        <v>157</v>
      </c>
      <c r="Y9" s="235">
        <v>78</v>
      </c>
      <c r="Z9" s="235">
        <v>107</v>
      </c>
      <c r="AA9" s="235">
        <v>11</v>
      </c>
      <c r="AB9" s="233" t="s">
        <v>158</v>
      </c>
      <c r="AD9" s="233" t="s">
        <v>180</v>
      </c>
      <c r="AE9" s="235" t="s">
        <v>126</v>
      </c>
      <c r="AF9" s="233" t="s">
        <v>181</v>
      </c>
    </row>
    <row r="10" spans="1:32" ht="12.75">
      <c r="A10" t="s">
        <v>182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183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174</v>
      </c>
      <c r="S10" s="237">
        <v>9.5</v>
      </c>
      <c r="T10" s="238" t="s">
        <v>175</v>
      </c>
      <c r="U10" s="238" t="s">
        <v>176</v>
      </c>
      <c r="V10" s="238" t="s">
        <v>177</v>
      </c>
      <c r="X10" s="233" t="s">
        <v>167</v>
      </c>
      <c r="Y10" s="235">
        <v>78</v>
      </c>
      <c r="Z10" s="235">
        <v>107</v>
      </c>
      <c r="AA10" s="235">
        <v>20</v>
      </c>
      <c r="AB10" s="233" t="s">
        <v>168</v>
      </c>
      <c r="AD10" s="233" t="s">
        <v>191</v>
      </c>
      <c r="AE10" s="235" t="s">
        <v>192</v>
      </c>
      <c r="AF10" s="233" t="s">
        <v>193</v>
      </c>
    </row>
    <row r="11" spans="1:32" ht="12.75">
      <c r="A11" t="s">
        <v>194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195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185</v>
      </c>
      <c r="S11" s="237">
        <v>7.5</v>
      </c>
      <c r="T11" s="238" t="s">
        <v>186</v>
      </c>
      <c r="U11" s="238" t="s">
        <v>187</v>
      </c>
      <c r="V11" s="238" t="s">
        <v>188</v>
      </c>
      <c r="X11" s="233" t="s">
        <v>178</v>
      </c>
      <c r="Y11" s="235">
        <v>78</v>
      </c>
      <c r="Z11" s="235">
        <v>107</v>
      </c>
      <c r="AA11" s="235">
        <v>20</v>
      </c>
      <c r="AB11" s="233" t="s">
        <v>179</v>
      </c>
      <c r="AD11" s="233" t="s">
        <v>202</v>
      </c>
      <c r="AE11" s="235" t="s">
        <v>126</v>
      </c>
      <c r="AF11" s="233" t="s">
        <v>203</v>
      </c>
    </row>
    <row r="12" spans="1:32" ht="12.75" customHeight="1">
      <c r="A12" t="s">
        <v>204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189</v>
      </c>
      <c r="Y12" s="235">
        <v>68</v>
      </c>
      <c r="Z12" s="235">
        <v>107</v>
      </c>
      <c r="AA12" s="235">
        <v>20</v>
      </c>
      <c r="AB12" s="233" t="s">
        <v>190</v>
      </c>
      <c r="AD12" s="233" t="s">
        <v>212</v>
      </c>
      <c r="AE12" s="235" t="s">
        <v>148</v>
      </c>
      <c r="AF12" s="233" t="s">
        <v>213</v>
      </c>
    </row>
    <row r="13" spans="1:32" ht="12.75">
      <c r="A13" t="s">
        <v>214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205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196</v>
      </c>
      <c r="S13" s="237">
        <v>5</v>
      </c>
      <c r="T13" s="238" t="s">
        <v>197</v>
      </c>
      <c r="U13" s="238" t="s">
        <v>198</v>
      </c>
      <c r="V13" s="238" t="s">
        <v>199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223</v>
      </c>
      <c r="AE13" s="235" t="s">
        <v>126</v>
      </c>
      <c r="AF13" s="233" t="s">
        <v>224</v>
      </c>
    </row>
    <row r="14" spans="1:32" ht="12.75">
      <c r="A14" t="s">
        <v>225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671</v>
      </c>
      <c r="I14" s="234">
        <v>76</v>
      </c>
      <c r="J14" s="234">
        <v>35</v>
      </c>
      <c r="K14" s="234">
        <v>95</v>
      </c>
      <c r="M14" s="233" t="s">
        <v>173</v>
      </c>
      <c r="N14" s="235">
        <v>81</v>
      </c>
      <c r="O14" s="235">
        <v>2</v>
      </c>
      <c r="P14" s="234">
        <v>90</v>
      </c>
      <c r="R14" s="238" t="s">
        <v>207</v>
      </c>
      <c r="S14" s="237">
        <v>7.5</v>
      </c>
      <c r="T14" s="238" t="s">
        <v>208</v>
      </c>
      <c r="U14" s="238" t="s">
        <v>209</v>
      </c>
      <c r="V14" s="238" t="s">
        <v>199</v>
      </c>
      <c r="X14" s="233" t="s">
        <v>200</v>
      </c>
      <c r="Y14" s="235">
        <v>68</v>
      </c>
      <c r="Z14" s="235">
        <v>107</v>
      </c>
      <c r="AA14" s="235">
        <v>20</v>
      </c>
      <c r="AB14" s="233" t="s">
        <v>201</v>
      </c>
      <c r="AD14" s="233" t="s">
        <v>234</v>
      </c>
      <c r="AE14" s="235" t="s">
        <v>126</v>
      </c>
      <c r="AF14" s="233" t="s">
        <v>235</v>
      </c>
    </row>
    <row r="15" spans="1:32" ht="12.75">
      <c r="A15" t="s">
        <v>236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215</v>
      </c>
      <c r="I15" s="234">
        <v>76</v>
      </c>
      <c r="J15" s="234">
        <v>66</v>
      </c>
      <c r="K15" s="234">
        <v>92</v>
      </c>
      <c r="M15" s="233" t="s">
        <v>184</v>
      </c>
      <c r="N15" s="235">
        <v>79</v>
      </c>
      <c r="O15" s="235">
        <v>1.5</v>
      </c>
      <c r="P15" s="234">
        <v>90</v>
      </c>
      <c r="R15" s="238" t="s">
        <v>217</v>
      </c>
      <c r="S15" s="237">
        <v>4</v>
      </c>
      <c r="T15" s="238" t="s">
        <v>218</v>
      </c>
      <c r="U15" s="238" t="s">
        <v>219</v>
      </c>
      <c r="V15" s="238" t="s">
        <v>220</v>
      </c>
      <c r="X15" s="233" t="s">
        <v>210</v>
      </c>
      <c r="Y15" s="235">
        <v>70</v>
      </c>
      <c r="Z15" s="235">
        <v>107</v>
      </c>
      <c r="AA15" s="235">
        <v>21</v>
      </c>
      <c r="AB15" s="233" t="s">
        <v>211</v>
      </c>
      <c r="AD15" s="233" t="s">
        <v>244</v>
      </c>
      <c r="AE15" s="235" t="s">
        <v>126</v>
      </c>
      <c r="AF15" s="233" t="s">
        <v>245</v>
      </c>
    </row>
    <row r="16" spans="1:32" ht="12.75">
      <c r="A16" t="s">
        <v>246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226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228</v>
      </c>
      <c r="S16" s="237">
        <v>3</v>
      </c>
      <c r="T16" s="238" t="s">
        <v>229</v>
      </c>
      <c r="U16" s="238" t="s">
        <v>230</v>
      </c>
      <c r="V16" s="238" t="s">
        <v>231</v>
      </c>
      <c r="X16" s="233" t="s">
        <v>221</v>
      </c>
      <c r="Y16" s="235">
        <v>72</v>
      </c>
      <c r="Z16" s="235">
        <v>107</v>
      </c>
      <c r="AA16" s="235">
        <v>11</v>
      </c>
      <c r="AB16" s="233" t="s">
        <v>222</v>
      </c>
      <c r="AD16" s="233" t="s">
        <v>254</v>
      </c>
      <c r="AE16" s="235" t="s">
        <v>126</v>
      </c>
      <c r="AF16" s="233" t="s">
        <v>255</v>
      </c>
    </row>
    <row r="17" spans="1:32" ht="12.75">
      <c r="A17" t="s">
        <v>256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237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238</v>
      </c>
      <c r="S17" s="237">
        <v>4.5</v>
      </c>
      <c r="T17" s="238" t="s">
        <v>239</v>
      </c>
      <c r="U17" s="238" t="s">
        <v>240</v>
      </c>
      <c r="V17" s="238" t="s">
        <v>241</v>
      </c>
      <c r="X17" s="233" t="s">
        <v>232</v>
      </c>
      <c r="Y17" s="235">
        <v>70</v>
      </c>
      <c r="Z17" s="235">
        <v>107</v>
      </c>
      <c r="AA17" s="235">
        <v>20</v>
      </c>
      <c r="AB17" s="233" t="s">
        <v>233</v>
      </c>
      <c r="AD17" s="233" t="s">
        <v>263</v>
      </c>
      <c r="AE17" s="235" t="s">
        <v>148</v>
      </c>
      <c r="AF17" s="233" t="s">
        <v>264</v>
      </c>
    </row>
    <row r="18" spans="1:32" ht="12.75">
      <c r="A18" t="s">
        <v>265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247</v>
      </c>
      <c r="I18" s="234">
        <v>76</v>
      </c>
      <c r="J18" s="234">
        <v>390</v>
      </c>
      <c r="K18" s="234">
        <v>88</v>
      </c>
      <c r="M18" s="233" t="s">
        <v>70</v>
      </c>
      <c r="N18" s="235">
        <v>100</v>
      </c>
      <c r="O18" s="235">
        <v>0.004500101328458176</v>
      </c>
      <c r="P18" s="234">
        <v>100</v>
      </c>
      <c r="R18" s="238" t="s">
        <v>248</v>
      </c>
      <c r="S18" s="237">
        <v>4.6</v>
      </c>
      <c r="T18" s="238" t="s">
        <v>249</v>
      </c>
      <c r="U18" s="238" t="s">
        <v>250</v>
      </c>
      <c r="V18" s="238" t="s">
        <v>251</v>
      </c>
      <c r="X18" s="233" t="s">
        <v>242</v>
      </c>
      <c r="Y18" s="235">
        <v>81</v>
      </c>
      <c r="Z18" s="235">
        <v>107</v>
      </c>
      <c r="AA18" s="235">
        <v>20</v>
      </c>
      <c r="AB18" s="233" t="s">
        <v>243</v>
      </c>
      <c r="AD18" s="233" t="s">
        <v>275</v>
      </c>
      <c r="AE18" s="235" t="s">
        <v>126</v>
      </c>
      <c r="AF18" s="261" t="s">
        <v>673</v>
      </c>
    </row>
    <row r="19" spans="1:32" ht="12.75" customHeight="1">
      <c r="A19" t="s">
        <v>276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257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258</v>
      </c>
      <c r="S19" s="237">
        <v>6.5</v>
      </c>
      <c r="T19" s="238" t="s">
        <v>259</v>
      </c>
      <c r="U19" s="238" t="s">
        <v>260</v>
      </c>
      <c r="V19" s="238" t="s">
        <v>220</v>
      </c>
      <c r="X19" s="233" t="s">
        <v>252</v>
      </c>
      <c r="Y19" s="235">
        <v>77</v>
      </c>
      <c r="Z19" s="235">
        <v>107</v>
      </c>
      <c r="AA19" s="235">
        <v>11</v>
      </c>
      <c r="AB19" s="233" t="s">
        <v>253</v>
      </c>
      <c r="AD19" s="233" t="s">
        <v>285</v>
      </c>
      <c r="AE19" s="235" t="s">
        <v>126</v>
      </c>
      <c r="AF19" s="233" t="s">
        <v>286</v>
      </c>
    </row>
    <row r="20" spans="1:32" ht="12.75">
      <c r="A20" t="s">
        <v>287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266</v>
      </c>
      <c r="I20" s="234">
        <v>64.8</v>
      </c>
      <c r="J20" s="234">
        <v>1400</v>
      </c>
      <c r="K20" s="234">
        <v>70</v>
      </c>
      <c r="M20" s="233" t="s">
        <v>206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268</v>
      </c>
      <c r="S20" s="237">
        <v>5.5</v>
      </c>
      <c r="T20" s="238" t="s">
        <v>269</v>
      </c>
      <c r="U20" s="238" t="s">
        <v>270</v>
      </c>
      <c r="V20" s="238" t="s">
        <v>271</v>
      </c>
      <c r="X20" s="233" t="s">
        <v>261</v>
      </c>
      <c r="Y20" s="235">
        <v>78</v>
      </c>
      <c r="Z20" s="235">
        <v>107</v>
      </c>
      <c r="AA20" s="235">
        <v>20</v>
      </c>
      <c r="AB20" s="233" t="s">
        <v>262</v>
      </c>
      <c r="AD20" s="233" t="s">
        <v>296</v>
      </c>
      <c r="AE20" s="235" t="s">
        <v>297</v>
      </c>
      <c r="AF20" s="233" t="s">
        <v>298</v>
      </c>
    </row>
    <row r="21" spans="1:32" ht="12.75">
      <c r="A21" t="s">
        <v>299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277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279</v>
      </c>
      <c r="S21" s="237">
        <v>3.5</v>
      </c>
      <c r="T21" s="238" t="s">
        <v>280</v>
      </c>
      <c r="U21" s="238" t="s">
        <v>281</v>
      </c>
      <c r="V21" s="238" t="s">
        <v>282</v>
      </c>
      <c r="X21" s="233" t="s">
        <v>272</v>
      </c>
      <c r="Y21" s="235">
        <v>66</v>
      </c>
      <c r="Z21" s="235">
        <v>107</v>
      </c>
      <c r="AA21" s="235" t="s">
        <v>273</v>
      </c>
      <c r="AB21" s="233" t="s">
        <v>274</v>
      </c>
      <c r="AD21" s="233" t="s">
        <v>308</v>
      </c>
      <c r="AE21" s="235" t="s">
        <v>126</v>
      </c>
      <c r="AF21" s="233" t="s">
        <v>309</v>
      </c>
    </row>
    <row r="22" spans="1:32" ht="12.75">
      <c r="A22" t="s">
        <v>310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288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290</v>
      </c>
      <c r="S22" s="237">
        <v>3.7</v>
      </c>
      <c r="T22" s="238" t="s">
        <v>291</v>
      </c>
      <c r="U22" s="238" t="s">
        <v>292</v>
      </c>
      <c r="V22" s="238" t="s">
        <v>293</v>
      </c>
      <c r="X22" s="233" t="s">
        <v>283</v>
      </c>
      <c r="Y22" s="235">
        <v>66</v>
      </c>
      <c r="Z22" s="235">
        <v>107</v>
      </c>
      <c r="AA22" s="235" t="s">
        <v>273</v>
      </c>
      <c r="AB22" s="233" t="s">
        <v>284</v>
      </c>
      <c r="AD22" s="233" t="s">
        <v>318</v>
      </c>
      <c r="AE22" s="235" t="s">
        <v>126</v>
      </c>
      <c r="AF22" s="233" t="s">
        <v>309</v>
      </c>
    </row>
    <row r="23" spans="1:32" ht="12.75">
      <c r="A23" t="s">
        <v>319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300</v>
      </c>
      <c r="I23" s="234">
        <v>82.8</v>
      </c>
      <c r="J23" s="234">
        <v>0.2</v>
      </c>
      <c r="K23" s="234">
        <v>100</v>
      </c>
      <c r="M23" s="233" t="s">
        <v>267</v>
      </c>
      <c r="N23" s="235">
        <v>99.5</v>
      </c>
      <c r="O23" s="235">
        <v>18</v>
      </c>
      <c r="P23" s="234">
        <v>70</v>
      </c>
      <c r="R23" s="238" t="s">
        <v>302</v>
      </c>
      <c r="S23" s="237">
        <v>14</v>
      </c>
      <c r="T23" s="238" t="s">
        <v>303</v>
      </c>
      <c r="U23" s="238" t="s">
        <v>304</v>
      </c>
      <c r="V23" s="238" t="s">
        <v>305</v>
      </c>
      <c r="X23" s="233" t="s">
        <v>294</v>
      </c>
      <c r="Y23" s="235">
        <v>66</v>
      </c>
      <c r="Z23" s="235">
        <v>107</v>
      </c>
      <c r="AA23" s="235" t="s">
        <v>273</v>
      </c>
      <c r="AB23" s="233" t="s">
        <v>295</v>
      </c>
      <c r="AD23" s="233" t="s">
        <v>327</v>
      </c>
      <c r="AE23" s="235" t="s">
        <v>126</v>
      </c>
      <c r="AF23" s="233" t="s">
        <v>328</v>
      </c>
    </row>
    <row r="24" spans="1:32" ht="12.75">
      <c r="A24" t="s">
        <v>329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311</v>
      </c>
      <c r="I24" s="234">
        <v>73.58</v>
      </c>
      <c r="J24" s="234">
        <v>3.7</v>
      </c>
      <c r="K24" s="234">
        <v>100</v>
      </c>
      <c r="M24" s="233" t="s">
        <v>278</v>
      </c>
      <c r="N24" s="235">
        <v>99.5</v>
      </c>
      <c r="O24" s="235">
        <v>95</v>
      </c>
      <c r="P24" s="234">
        <v>60</v>
      </c>
      <c r="R24" s="238" t="s">
        <v>313</v>
      </c>
      <c r="S24" s="237">
        <v>15</v>
      </c>
      <c r="T24" s="238" t="s">
        <v>314</v>
      </c>
      <c r="U24" s="238" t="s">
        <v>315</v>
      </c>
      <c r="V24" s="238" t="s">
        <v>220</v>
      </c>
      <c r="X24" s="233" t="s">
        <v>306</v>
      </c>
      <c r="Y24" s="235">
        <v>82</v>
      </c>
      <c r="Z24" s="235">
        <v>107.5</v>
      </c>
      <c r="AA24" s="235">
        <v>20</v>
      </c>
      <c r="AB24" s="233" t="s">
        <v>307</v>
      </c>
      <c r="AD24" s="233" t="s">
        <v>337</v>
      </c>
      <c r="AE24" s="235" t="s">
        <v>297</v>
      </c>
      <c r="AF24" s="233" t="s">
        <v>338</v>
      </c>
    </row>
    <row r="25" spans="1:32" ht="12.75">
      <c r="A25" t="s">
        <v>339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320</v>
      </c>
      <c r="I25" s="234">
        <v>74</v>
      </c>
      <c r="J25" s="234">
        <v>4</v>
      </c>
      <c r="K25" s="234">
        <v>100</v>
      </c>
      <c r="M25" s="233" t="s">
        <v>289</v>
      </c>
      <c r="N25" s="235">
        <v>99.5</v>
      </c>
      <c r="O25" s="235">
        <v>57</v>
      </c>
      <c r="P25" s="234">
        <v>65</v>
      </c>
      <c r="R25" s="238" t="s">
        <v>321</v>
      </c>
      <c r="S25" s="237">
        <v>15</v>
      </c>
      <c r="T25" s="238" t="s">
        <v>322</v>
      </c>
      <c r="U25" s="238" t="s">
        <v>323</v>
      </c>
      <c r="V25" s="238" t="s">
        <v>324</v>
      </c>
      <c r="X25" s="233" t="s">
        <v>316</v>
      </c>
      <c r="Y25" s="235">
        <v>80</v>
      </c>
      <c r="Z25" s="235">
        <v>107.5</v>
      </c>
      <c r="AA25" s="235">
        <v>20</v>
      </c>
      <c r="AB25" s="233" t="s">
        <v>317</v>
      </c>
      <c r="AD25" s="233" t="s">
        <v>347</v>
      </c>
      <c r="AE25" s="235" t="s">
        <v>126</v>
      </c>
      <c r="AF25" s="233" t="s">
        <v>348</v>
      </c>
    </row>
    <row r="26" spans="1:32" ht="12.75">
      <c r="A26" t="s">
        <v>349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330</v>
      </c>
      <c r="I26" s="234">
        <v>73.58</v>
      </c>
      <c r="J26" s="234">
        <v>4</v>
      </c>
      <c r="K26" s="234">
        <v>100</v>
      </c>
      <c r="M26" s="233" t="s">
        <v>301</v>
      </c>
      <c r="N26" s="235">
        <v>99.5</v>
      </c>
      <c r="O26" s="235">
        <v>8</v>
      </c>
      <c r="P26" s="234">
        <v>75</v>
      </c>
      <c r="R26" s="238" t="s">
        <v>331</v>
      </c>
      <c r="S26" s="237">
        <v>10.2</v>
      </c>
      <c r="T26" s="238" t="s">
        <v>332</v>
      </c>
      <c r="U26" s="238" t="s">
        <v>333</v>
      </c>
      <c r="V26" s="238" t="s">
        <v>334</v>
      </c>
      <c r="X26" s="233" t="s">
        <v>325</v>
      </c>
      <c r="Y26" s="235">
        <v>82</v>
      </c>
      <c r="Z26" s="235">
        <v>107.5</v>
      </c>
      <c r="AA26" s="235" t="s">
        <v>273</v>
      </c>
      <c r="AB26" s="233" t="s">
        <v>326</v>
      </c>
      <c r="AD26" s="233" t="s">
        <v>356</v>
      </c>
      <c r="AE26" s="235" t="s">
        <v>148</v>
      </c>
      <c r="AF26" s="233" t="s">
        <v>357</v>
      </c>
    </row>
    <row r="27" spans="1:32" ht="12.75">
      <c r="A27" t="s">
        <v>358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340</v>
      </c>
      <c r="I27" s="234">
        <v>73.58</v>
      </c>
      <c r="J27" s="234">
        <v>4</v>
      </c>
      <c r="K27" s="234">
        <v>100</v>
      </c>
      <c r="M27" s="233" t="s">
        <v>312</v>
      </c>
      <c r="N27" s="235">
        <v>99.5</v>
      </c>
      <c r="O27" s="235">
        <v>79</v>
      </c>
      <c r="P27" s="234">
        <v>75</v>
      </c>
      <c r="R27" s="238" t="s">
        <v>341</v>
      </c>
      <c r="S27" s="237">
        <v>11</v>
      </c>
      <c r="T27" s="238" t="s">
        <v>342</v>
      </c>
      <c r="U27" s="238" t="s">
        <v>343</v>
      </c>
      <c r="V27" s="238" t="s">
        <v>344</v>
      </c>
      <c r="X27" s="233" t="s">
        <v>335</v>
      </c>
      <c r="Y27" s="235">
        <v>83</v>
      </c>
      <c r="Z27" s="235">
        <v>107.5</v>
      </c>
      <c r="AA27" s="235">
        <v>20</v>
      </c>
      <c r="AB27" s="233" t="s">
        <v>336</v>
      </c>
      <c r="AD27" s="233" t="s">
        <v>365</v>
      </c>
      <c r="AE27" s="235" t="s">
        <v>192</v>
      </c>
      <c r="AF27" s="233" t="s">
        <v>366</v>
      </c>
    </row>
    <row r="28" spans="1:32" ht="12.75">
      <c r="A28" t="s">
        <v>367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350</v>
      </c>
      <c r="I28" s="234">
        <v>85</v>
      </c>
      <c r="J28" s="234">
        <v>0.3</v>
      </c>
      <c r="K28" s="234">
        <v>100</v>
      </c>
      <c r="M28" s="233" t="s">
        <v>216</v>
      </c>
      <c r="N28" s="235">
        <v>97.38</v>
      </c>
      <c r="O28" s="235">
        <v>6</v>
      </c>
      <c r="P28" s="234">
        <v>100</v>
      </c>
      <c r="R28" s="238" t="s">
        <v>351</v>
      </c>
      <c r="S28" s="237">
        <v>6</v>
      </c>
      <c r="T28" s="238" t="s">
        <v>352</v>
      </c>
      <c r="U28" s="238" t="s">
        <v>353</v>
      </c>
      <c r="V28" s="238" t="s">
        <v>354</v>
      </c>
      <c r="X28" s="233" t="s">
        <v>345</v>
      </c>
      <c r="Y28" s="235">
        <v>82</v>
      </c>
      <c r="Z28" s="235">
        <v>107.5</v>
      </c>
      <c r="AA28" s="235">
        <v>21</v>
      </c>
      <c r="AB28" s="233" t="s">
        <v>346</v>
      </c>
      <c r="AD28" s="233" t="s">
        <v>375</v>
      </c>
      <c r="AE28" s="235" t="s">
        <v>376</v>
      </c>
      <c r="AF28" s="233" t="s">
        <v>377</v>
      </c>
    </row>
    <row r="29" spans="1:32" ht="12.75">
      <c r="A29" t="s">
        <v>378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359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360</v>
      </c>
      <c r="S29" s="237">
        <v>10</v>
      </c>
      <c r="T29" s="238" t="s">
        <v>361</v>
      </c>
      <c r="U29" s="238" t="s">
        <v>362</v>
      </c>
      <c r="V29" s="238" t="s">
        <v>363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355</v>
      </c>
      <c r="AD29" s="233" t="s">
        <v>386</v>
      </c>
      <c r="AE29" s="235" t="s">
        <v>126</v>
      </c>
      <c r="AF29" s="233" t="s">
        <v>387</v>
      </c>
    </row>
    <row r="30" spans="1:32" ht="12.75">
      <c r="A30" t="s">
        <v>388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368</v>
      </c>
      <c r="I30" s="234">
        <v>80.5</v>
      </c>
      <c r="J30" s="234">
        <v>3</v>
      </c>
      <c r="K30" s="234">
        <v>100</v>
      </c>
      <c r="M30" s="233" t="s">
        <v>227</v>
      </c>
      <c r="N30" s="235">
        <v>73.58</v>
      </c>
      <c r="O30" s="235">
        <v>30</v>
      </c>
      <c r="P30" s="234">
        <v>100</v>
      </c>
      <c r="R30" s="238" t="s">
        <v>369</v>
      </c>
      <c r="S30" s="237">
        <v>9</v>
      </c>
      <c r="T30" s="238" t="s">
        <v>370</v>
      </c>
      <c r="U30" s="238" t="s">
        <v>371</v>
      </c>
      <c r="V30" s="238" t="s">
        <v>372</v>
      </c>
      <c r="X30" s="233" t="s">
        <v>325</v>
      </c>
      <c r="Y30" s="235">
        <v>82</v>
      </c>
      <c r="Z30" s="235">
        <v>107.5</v>
      </c>
      <c r="AA30" s="235" t="s">
        <v>364</v>
      </c>
      <c r="AB30" s="233" t="s">
        <v>326</v>
      </c>
      <c r="AD30" s="233" t="s">
        <v>396</v>
      </c>
      <c r="AE30" s="235" t="s">
        <v>126</v>
      </c>
      <c r="AF30" s="233" t="s">
        <v>397</v>
      </c>
    </row>
    <row r="31" spans="1:32" ht="12.75">
      <c r="A31" t="s">
        <v>398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379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380</v>
      </c>
      <c r="S31" s="237">
        <v>7</v>
      </c>
      <c r="T31" s="238" t="s">
        <v>381</v>
      </c>
      <c r="U31" s="238" t="s">
        <v>382</v>
      </c>
      <c r="V31" s="238" t="s">
        <v>383</v>
      </c>
      <c r="X31" s="233" t="s">
        <v>373</v>
      </c>
      <c r="Y31" s="235">
        <v>82</v>
      </c>
      <c r="Z31" s="235">
        <v>107.5</v>
      </c>
      <c r="AA31" s="235">
        <v>21</v>
      </c>
      <c r="AB31" s="233" t="s">
        <v>374</v>
      </c>
      <c r="AD31" s="233"/>
      <c r="AE31" s="235"/>
      <c r="AF31" s="233"/>
    </row>
    <row r="32" spans="1:32" ht="12.75">
      <c r="A32" t="s">
        <v>406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389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390</v>
      </c>
      <c r="S32" s="237">
        <v>7</v>
      </c>
      <c r="T32" s="238" t="s">
        <v>391</v>
      </c>
      <c r="U32" s="238" t="s">
        <v>392</v>
      </c>
      <c r="V32" s="238" t="s">
        <v>393</v>
      </c>
      <c r="X32" s="233" t="s">
        <v>384</v>
      </c>
      <c r="Y32" s="235">
        <v>84</v>
      </c>
      <c r="Z32" s="235">
        <v>107.5</v>
      </c>
      <c r="AA32" s="235">
        <v>23</v>
      </c>
      <c r="AB32" s="233" t="s">
        <v>385</v>
      </c>
      <c r="AD32" s="233"/>
      <c r="AE32" s="235"/>
      <c r="AF32" s="233"/>
    </row>
    <row r="33" spans="1:32" ht="12.75">
      <c r="A33" t="s">
        <v>414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399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400</v>
      </c>
      <c r="S33" s="237">
        <v>4.5</v>
      </c>
      <c r="T33" s="238" t="s">
        <v>401</v>
      </c>
      <c r="U33" s="238" t="s">
        <v>402</v>
      </c>
      <c r="V33" s="238" t="s">
        <v>403</v>
      </c>
      <c r="X33" s="233" t="s">
        <v>394</v>
      </c>
      <c r="Y33" s="235">
        <v>84</v>
      </c>
      <c r="Z33" s="235">
        <v>107.5</v>
      </c>
      <c r="AA33" s="235">
        <v>23</v>
      </c>
      <c r="AB33" s="233" t="s">
        <v>395</v>
      </c>
      <c r="AD33" s="233"/>
      <c r="AE33" s="235"/>
      <c r="AF33" s="233"/>
    </row>
    <row r="34" spans="1:32" ht="12.75">
      <c r="A34" t="s">
        <v>422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407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404</v>
      </c>
      <c r="Y34" s="235">
        <v>90</v>
      </c>
      <c r="Z34" s="235">
        <v>107.5</v>
      </c>
      <c r="AA34" s="235">
        <v>24</v>
      </c>
      <c r="AB34" s="233" t="s">
        <v>405</v>
      </c>
      <c r="AD34" s="233"/>
      <c r="AE34" s="235"/>
      <c r="AF34" s="233"/>
    </row>
    <row r="35" spans="1:32" ht="12.75">
      <c r="A35" t="s">
        <v>430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415</v>
      </c>
      <c r="I35" s="234">
        <v>69.25</v>
      </c>
      <c r="J35" s="234">
        <v>6</v>
      </c>
      <c r="K35" s="234">
        <v>100</v>
      </c>
      <c r="M35" s="261" t="s">
        <v>701</v>
      </c>
      <c r="N35" s="235">
        <v>100</v>
      </c>
      <c r="O35" s="235">
        <v>9000</v>
      </c>
      <c r="P35" s="234">
        <v>0</v>
      </c>
      <c r="R35" s="238" t="s">
        <v>408</v>
      </c>
      <c r="S35" s="237">
        <v>5</v>
      </c>
      <c r="T35" s="238" t="s">
        <v>409</v>
      </c>
      <c r="U35" s="238" t="s">
        <v>410</v>
      </c>
      <c r="V35" s="238" t="s">
        <v>411</v>
      </c>
      <c r="X35" s="233" t="s">
        <v>412</v>
      </c>
      <c r="Y35" s="235">
        <v>75</v>
      </c>
      <c r="Z35" s="235">
        <v>107</v>
      </c>
      <c r="AA35" s="235">
        <v>16</v>
      </c>
      <c r="AB35" s="233" t="s">
        <v>413</v>
      </c>
      <c r="AD35" s="233"/>
      <c r="AE35" s="235"/>
      <c r="AF35" s="233"/>
    </row>
    <row r="36" spans="1:32" ht="12.75" customHeight="1">
      <c r="A36" t="s">
        <v>438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423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416</v>
      </c>
      <c r="S36" s="237">
        <v>4</v>
      </c>
      <c r="T36" s="238" t="s">
        <v>417</v>
      </c>
      <c r="U36" s="238" t="s">
        <v>418</v>
      </c>
      <c r="V36" s="238" t="s">
        <v>419</v>
      </c>
      <c r="X36" s="233" t="s">
        <v>420</v>
      </c>
      <c r="Y36" s="235">
        <v>76</v>
      </c>
      <c r="Z36" s="235">
        <v>107</v>
      </c>
      <c r="AA36" s="235">
        <v>19</v>
      </c>
      <c r="AB36" s="233" t="s">
        <v>421</v>
      </c>
      <c r="AD36" s="233"/>
      <c r="AE36" s="235"/>
      <c r="AF36" s="233"/>
    </row>
    <row r="37" spans="1:32" ht="12.75">
      <c r="A37" t="s">
        <v>445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431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424</v>
      </c>
      <c r="S37" s="237">
        <v>4</v>
      </c>
      <c r="T37" s="238" t="s">
        <v>425</v>
      </c>
      <c r="U37" s="238" t="s">
        <v>426</v>
      </c>
      <c r="V37" s="238" t="s">
        <v>427</v>
      </c>
      <c r="X37" s="233" t="s">
        <v>428</v>
      </c>
      <c r="Y37" s="235">
        <v>75</v>
      </c>
      <c r="Z37" s="235">
        <v>107</v>
      </c>
      <c r="AA37" s="235">
        <v>18</v>
      </c>
      <c r="AB37" s="233" t="s">
        <v>429</v>
      </c>
      <c r="AD37" s="233"/>
      <c r="AE37" s="235"/>
      <c r="AF37" s="233"/>
    </row>
    <row r="38" spans="1:32" ht="12.75" customHeight="1">
      <c r="A38" t="s">
        <v>453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439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432</v>
      </c>
      <c r="S38" s="237">
        <v>3.8</v>
      </c>
      <c r="T38" s="238" t="s">
        <v>433</v>
      </c>
      <c r="U38" s="238" t="s">
        <v>434</v>
      </c>
      <c r="V38" s="238" t="s">
        <v>435</v>
      </c>
      <c r="X38" s="233" t="s">
        <v>436</v>
      </c>
      <c r="Y38" s="235">
        <v>75</v>
      </c>
      <c r="Z38" s="235">
        <v>107</v>
      </c>
      <c r="AA38" s="235">
        <v>18</v>
      </c>
      <c r="AB38" s="233" t="s">
        <v>437</v>
      </c>
      <c r="AD38" s="233"/>
      <c r="AE38" s="235"/>
      <c r="AF38" s="233"/>
    </row>
    <row r="39" spans="1:32" ht="12.75">
      <c r="A39" t="s">
        <v>461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446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440</v>
      </c>
      <c r="S39" s="237">
        <v>11</v>
      </c>
      <c r="T39" s="238" t="s">
        <v>441</v>
      </c>
      <c r="U39" s="238" t="s">
        <v>442</v>
      </c>
      <c r="V39" s="238" t="s">
        <v>220</v>
      </c>
      <c r="X39" s="233" t="s">
        <v>443</v>
      </c>
      <c r="Y39" s="235">
        <v>73</v>
      </c>
      <c r="Z39" s="235">
        <v>107</v>
      </c>
      <c r="AA39" s="235">
        <v>19</v>
      </c>
      <c r="AB39" s="233" t="s">
        <v>444</v>
      </c>
      <c r="AD39" s="233"/>
      <c r="AE39" s="235"/>
      <c r="AF39" s="233"/>
    </row>
    <row r="40" spans="1:32" ht="12.75">
      <c r="A40" t="s">
        <v>468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454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447</v>
      </c>
      <c r="S40" s="237">
        <v>4</v>
      </c>
      <c r="T40" s="238" t="s">
        <v>448</v>
      </c>
      <c r="U40" s="238" t="s">
        <v>449</v>
      </c>
      <c r="V40" s="238" t="s">
        <v>450</v>
      </c>
      <c r="X40" s="233" t="s">
        <v>451</v>
      </c>
      <c r="Y40" s="235">
        <v>74</v>
      </c>
      <c r="Z40" s="235">
        <v>107</v>
      </c>
      <c r="AA40" s="235">
        <v>20</v>
      </c>
      <c r="AB40" s="233" t="s">
        <v>452</v>
      </c>
      <c r="AD40" s="233"/>
      <c r="AE40" s="235"/>
      <c r="AF40" s="233"/>
    </row>
    <row r="41" spans="1:32" ht="12.75">
      <c r="A41" t="s">
        <v>476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462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455</v>
      </c>
      <c r="S41" s="237">
        <v>5.5</v>
      </c>
      <c r="T41" s="238" t="s">
        <v>456</v>
      </c>
      <c r="U41" s="238" t="s">
        <v>457</v>
      </c>
      <c r="V41" s="238" t="s">
        <v>458</v>
      </c>
      <c r="X41" s="233" t="s">
        <v>459</v>
      </c>
      <c r="Y41" s="235">
        <v>70</v>
      </c>
      <c r="Z41" s="235">
        <v>106.5</v>
      </c>
      <c r="AA41" s="235">
        <v>21</v>
      </c>
      <c r="AB41" s="233" t="s">
        <v>460</v>
      </c>
      <c r="AD41" s="233"/>
      <c r="AE41" s="235"/>
      <c r="AF41" s="233"/>
    </row>
    <row r="42" spans="1:32" ht="12.75">
      <c r="A42" t="s">
        <v>484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469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463</v>
      </c>
      <c r="S42" s="237">
        <v>6.5</v>
      </c>
      <c r="T42" s="238" t="s">
        <v>464</v>
      </c>
      <c r="U42" s="238" t="s">
        <v>371</v>
      </c>
      <c r="V42" s="238" t="s">
        <v>465</v>
      </c>
      <c r="X42" s="233" t="s">
        <v>466</v>
      </c>
      <c r="Y42" s="235">
        <v>70</v>
      </c>
      <c r="Z42" s="235">
        <v>106.5</v>
      </c>
      <c r="AA42" s="235">
        <v>21</v>
      </c>
      <c r="AB42" s="233" t="s">
        <v>467</v>
      </c>
      <c r="AD42" s="233"/>
      <c r="AE42" s="235"/>
      <c r="AF42" s="233"/>
    </row>
    <row r="43" spans="1:32" ht="12.75">
      <c r="A43" t="s">
        <v>488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477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470</v>
      </c>
      <c r="S43" s="237">
        <v>5</v>
      </c>
      <c r="T43" s="238" t="s">
        <v>471</v>
      </c>
      <c r="U43" s="238" t="s">
        <v>472</v>
      </c>
      <c r="V43" s="238" t="s">
        <v>473</v>
      </c>
      <c r="X43" s="233" t="s">
        <v>474</v>
      </c>
      <c r="Y43" s="235">
        <v>86</v>
      </c>
      <c r="Z43" s="235">
        <v>107.5</v>
      </c>
      <c r="AA43" s="235">
        <v>21</v>
      </c>
      <c r="AB43" s="233" t="s">
        <v>475</v>
      </c>
      <c r="AD43" s="233"/>
      <c r="AE43" s="235"/>
      <c r="AF43" s="233"/>
    </row>
    <row r="44" spans="1:32" ht="12.75">
      <c r="A44" t="s">
        <v>491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485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478</v>
      </c>
      <c r="S44" s="237">
        <v>10</v>
      </c>
      <c r="T44" s="238" t="s">
        <v>479</v>
      </c>
      <c r="U44" s="238" t="s">
        <v>480</v>
      </c>
      <c r="V44" s="238" t="s">
        <v>481</v>
      </c>
      <c r="X44" s="233" t="s">
        <v>482</v>
      </c>
      <c r="Y44" s="235">
        <v>74</v>
      </c>
      <c r="Z44" s="235">
        <v>107.5</v>
      </c>
      <c r="AA44" s="235">
        <v>19</v>
      </c>
      <c r="AB44" s="233" t="s">
        <v>483</v>
      </c>
      <c r="AD44" s="233"/>
      <c r="AE44" s="235"/>
      <c r="AF44" s="233"/>
    </row>
    <row r="45" spans="1:32" ht="12.75">
      <c r="A45" t="s">
        <v>494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486</v>
      </c>
      <c r="Y45" s="235">
        <v>74</v>
      </c>
      <c r="Z45" s="235">
        <v>107.5</v>
      </c>
      <c r="AA45" s="235">
        <v>19</v>
      </c>
      <c r="AB45" s="233" t="s">
        <v>487</v>
      </c>
      <c r="AD45" s="233"/>
      <c r="AE45" s="235"/>
      <c r="AF45" s="233"/>
    </row>
    <row r="46" spans="1:32" ht="12.75">
      <c r="A46" t="s">
        <v>497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654</v>
      </c>
      <c r="S46" s="366"/>
      <c r="T46" s="365" t="s">
        <v>657</v>
      </c>
      <c r="U46" s="238"/>
      <c r="V46" s="238"/>
      <c r="X46" s="233" t="s">
        <v>489</v>
      </c>
      <c r="Y46" s="235">
        <v>73</v>
      </c>
      <c r="Z46" s="235">
        <v>107</v>
      </c>
      <c r="AA46" s="235">
        <v>21</v>
      </c>
      <c r="AB46" s="233" t="s">
        <v>490</v>
      </c>
      <c r="AD46" s="233"/>
      <c r="AE46" s="235"/>
      <c r="AF46" s="233"/>
    </row>
    <row r="47" spans="1:32" ht="12.75" customHeight="1">
      <c r="A47" t="s">
        <v>499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658</v>
      </c>
      <c r="S47" s="237">
        <v>11.5</v>
      </c>
      <c r="T47" s="238" t="s">
        <v>655</v>
      </c>
      <c r="U47" s="238"/>
      <c r="V47" s="238" t="s">
        <v>660</v>
      </c>
      <c r="X47" s="233" t="s">
        <v>492</v>
      </c>
      <c r="Y47" s="235">
        <v>75</v>
      </c>
      <c r="Z47" s="235">
        <v>107.5</v>
      </c>
      <c r="AA47" s="235">
        <v>21</v>
      </c>
      <c r="AB47" s="233" t="s">
        <v>493</v>
      </c>
      <c r="AD47" s="233"/>
      <c r="AE47" s="235"/>
      <c r="AF47" s="233"/>
    </row>
    <row r="48" spans="1:32" ht="14.25" customHeight="1">
      <c r="A48" t="s">
        <v>502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659</v>
      </c>
      <c r="S48" s="237">
        <v>10</v>
      </c>
      <c r="T48" s="238" t="s">
        <v>656</v>
      </c>
      <c r="U48" s="238"/>
      <c r="V48" s="238" t="s">
        <v>660</v>
      </c>
      <c r="X48" s="233" t="s">
        <v>495</v>
      </c>
      <c r="Y48" s="235">
        <v>69</v>
      </c>
      <c r="Z48" s="235">
        <v>106.5</v>
      </c>
      <c r="AA48" s="235">
        <v>20</v>
      </c>
      <c r="AB48" s="233" t="s">
        <v>496</v>
      </c>
      <c r="AD48" s="233"/>
      <c r="AE48" s="235"/>
      <c r="AF48" s="233"/>
    </row>
    <row r="49" spans="1:32" ht="12.75">
      <c r="A49" t="s">
        <v>505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498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508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500</v>
      </c>
      <c r="Y50" s="235">
        <v>71</v>
      </c>
      <c r="Z50" s="235">
        <v>107</v>
      </c>
      <c r="AA50" s="235">
        <v>18</v>
      </c>
      <c r="AB50" s="233" t="s">
        <v>501</v>
      </c>
      <c r="AD50" s="233"/>
      <c r="AE50" s="235"/>
      <c r="AF50" s="233"/>
    </row>
    <row r="51" spans="1:32" ht="12.75">
      <c r="A51" t="s">
        <v>511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690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503</v>
      </c>
      <c r="Y51" s="235">
        <v>82</v>
      </c>
      <c r="Z51" s="235">
        <v>107.5</v>
      </c>
      <c r="AA51" s="235">
        <v>22</v>
      </c>
      <c r="AB51" s="233" t="s">
        <v>504</v>
      </c>
      <c r="AD51" s="233"/>
      <c r="AE51" s="235"/>
      <c r="AF51" s="233"/>
    </row>
    <row r="52" spans="1:32" ht="12.75">
      <c r="A52" t="s">
        <v>514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506</v>
      </c>
      <c r="Y52" s="235">
        <v>69</v>
      </c>
      <c r="Z52" s="235">
        <v>106.5</v>
      </c>
      <c r="AA52" s="235">
        <v>20</v>
      </c>
      <c r="AB52" s="233" t="s">
        <v>507</v>
      </c>
      <c r="AD52" s="233"/>
      <c r="AE52" s="235"/>
      <c r="AF52" s="233"/>
    </row>
    <row r="53" spans="1:32" ht="13.5" customHeight="1">
      <c r="A53" t="s">
        <v>517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509</v>
      </c>
      <c r="Y53" s="235">
        <v>73</v>
      </c>
      <c r="Z53" s="235">
        <v>107</v>
      </c>
      <c r="AA53" s="235">
        <v>11</v>
      </c>
      <c r="AB53" s="233" t="s">
        <v>510</v>
      </c>
      <c r="AD53" s="233"/>
      <c r="AE53" s="235"/>
      <c r="AF53" s="233"/>
    </row>
    <row r="54" spans="1:32" ht="12" customHeight="1">
      <c r="A54" t="s">
        <v>520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512</v>
      </c>
      <c r="Y54" s="235">
        <v>73</v>
      </c>
      <c r="Z54" s="235">
        <v>107</v>
      </c>
      <c r="AA54" s="235">
        <v>11</v>
      </c>
      <c r="AB54" s="233" t="s">
        <v>513</v>
      </c>
      <c r="AD54" s="233"/>
      <c r="AE54" s="235"/>
      <c r="AF54" s="233"/>
    </row>
    <row r="55" spans="1:32" ht="12.75">
      <c r="A55" t="s">
        <v>523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515</v>
      </c>
      <c r="Y55" s="235">
        <v>73</v>
      </c>
      <c r="Z55" s="235">
        <v>107</v>
      </c>
      <c r="AA55" s="235">
        <v>11</v>
      </c>
      <c r="AB55" s="233" t="s">
        <v>516</v>
      </c>
      <c r="AD55" s="233"/>
      <c r="AE55" s="235"/>
      <c r="AF55" s="233"/>
    </row>
    <row r="56" spans="1:32" ht="12.75">
      <c r="A56" t="s">
        <v>526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518</v>
      </c>
      <c r="Y56" s="235">
        <v>77</v>
      </c>
      <c r="Z56" s="235">
        <v>107.5</v>
      </c>
      <c r="AA56" s="235">
        <v>12</v>
      </c>
      <c r="AB56" s="233" t="s">
        <v>519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521</v>
      </c>
      <c r="Y57" s="235">
        <v>75</v>
      </c>
      <c r="Z57" s="235">
        <v>107.5</v>
      </c>
      <c r="AA57" s="235">
        <v>11</v>
      </c>
      <c r="AB57" s="233" t="s">
        <v>522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524</v>
      </c>
      <c r="Y58" s="235">
        <v>69</v>
      </c>
      <c r="Z58" s="235">
        <v>106.5</v>
      </c>
      <c r="AA58" s="235">
        <v>17</v>
      </c>
      <c r="AB58" s="233" t="s">
        <v>525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527</v>
      </c>
      <c r="Y59" s="235">
        <v>71</v>
      </c>
      <c r="Z59" s="235">
        <v>107</v>
      </c>
      <c r="AA59" s="235">
        <v>11</v>
      </c>
      <c r="AB59" s="233" t="s">
        <v>528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529</v>
      </c>
      <c r="Y60" s="235">
        <v>75</v>
      </c>
      <c r="Z60" s="235">
        <v>107.5</v>
      </c>
      <c r="AA60" s="235">
        <v>11</v>
      </c>
      <c r="AB60" s="233" t="s">
        <v>530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531</v>
      </c>
      <c r="Y61" s="235">
        <v>72</v>
      </c>
      <c r="Z61" s="235">
        <v>107.5</v>
      </c>
      <c r="AA61" s="235">
        <v>11</v>
      </c>
      <c r="AB61" s="233" t="s">
        <v>532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533</v>
      </c>
      <c r="Y62" s="235">
        <v>75</v>
      </c>
      <c r="Z62" s="235">
        <v>107.5</v>
      </c>
      <c r="AA62" s="235">
        <v>11</v>
      </c>
      <c r="AB62" s="233" t="s">
        <v>534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535</v>
      </c>
      <c r="Y63" s="235">
        <v>75</v>
      </c>
      <c r="Z63" s="235">
        <v>107.5</v>
      </c>
      <c r="AA63" s="235">
        <v>21</v>
      </c>
      <c r="AB63" s="233" t="s">
        <v>536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537</v>
      </c>
      <c r="Y64" s="235">
        <v>76</v>
      </c>
      <c r="Z64" s="235">
        <v>107.5</v>
      </c>
      <c r="AA64" s="235">
        <v>22</v>
      </c>
      <c r="AB64" s="233" t="s">
        <v>538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539</v>
      </c>
      <c r="Y65" s="235">
        <v>74</v>
      </c>
      <c r="Z65" s="235">
        <v>107.5</v>
      </c>
      <c r="AA65" s="235">
        <v>22</v>
      </c>
      <c r="AB65" s="233" t="s">
        <v>540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541</v>
      </c>
      <c r="Y66" s="235">
        <v>77</v>
      </c>
      <c r="Z66" s="235">
        <v>107.5</v>
      </c>
      <c r="AA66" s="235">
        <v>21</v>
      </c>
      <c r="AB66" s="233" t="s">
        <v>542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543</v>
      </c>
      <c r="Y67" s="235">
        <v>86</v>
      </c>
      <c r="Z67" s="235">
        <v>107.5</v>
      </c>
      <c r="AA67" s="235">
        <v>24</v>
      </c>
      <c r="AB67" s="233" t="s">
        <v>544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545</v>
      </c>
      <c r="Y68" s="235">
        <v>80</v>
      </c>
      <c r="Z68" s="235">
        <v>107.5</v>
      </c>
      <c r="AA68" s="235">
        <v>23</v>
      </c>
      <c r="AB68" s="233" t="s">
        <v>546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547</v>
      </c>
      <c r="Y69" s="235">
        <v>75</v>
      </c>
      <c r="Z69" s="235">
        <v>107.5</v>
      </c>
      <c r="AA69" s="235">
        <v>22</v>
      </c>
      <c r="AB69" s="233" t="s">
        <v>548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549</v>
      </c>
      <c r="Y70" s="235">
        <v>79</v>
      </c>
      <c r="Z70" s="235">
        <v>107.5</v>
      </c>
      <c r="AA70" s="235">
        <v>20</v>
      </c>
      <c r="AB70" s="233" t="s">
        <v>550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551</v>
      </c>
      <c r="Y71" s="235">
        <v>84</v>
      </c>
      <c r="Z71" s="235">
        <v>107.5</v>
      </c>
      <c r="AA71" s="235" t="s">
        <v>552</v>
      </c>
      <c r="AB71" s="233" t="s">
        <v>553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554</v>
      </c>
      <c r="Y72" s="235">
        <v>84</v>
      </c>
      <c r="Z72" s="235">
        <v>107.5</v>
      </c>
      <c r="AA72" s="235" t="s">
        <v>555</v>
      </c>
      <c r="AB72" s="233" t="s">
        <v>556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557</v>
      </c>
      <c r="Y73" s="235">
        <v>78</v>
      </c>
      <c r="Z73" s="235">
        <v>106</v>
      </c>
      <c r="AA73" s="235" t="s">
        <v>364</v>
      </c>
      <c r="AB73" s="233" t="s">
        <v>558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559</v>
      </c>
      <c r="Y74" s="235">
        <v>78</v>
      </c>
      <c r="Z74" s="235">
        <v>107.5</v>
      </c>
      <c r="AA74" s="235" t="s">
        <v>552</v>
      </c>
      <c r="AB74" s="233" t="s">
        <v>560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561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562</v>
      </c>
      <c r="Y76" s="235">
        <v>74</v>
      </c>
      <c r="Z76" s="235">
        <v>107.5</v>
      </c>
      <c r="AA76" s="235">
        <v>20</v>
      </c>
      <c r="AB76" s="233" t="s">
        <v>563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564</v>
      </c>
      <c r="Y77" s="235">
        <v>74</v>
      </c>
      <c r="Z77" s="235">
        <v>107.5</v>
      </c>
      <c r="AA77" s="235">
        <v>21</v>
      </c>
      <c r="AB77" s="233" t="s">
        <v>565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566</v>
      </c>
      <c r="Y78" s="235">
        <v>85</v>
      </c>
      <c r="Z78" s="235">
        <v>107.5</v>
      </c>
      <c r="AA78" s="235">
        <v>22</v>
      </c>
      <c r="AB78" s="233" t="s">
        <v>567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568</v>
      </c>
      <c r="Y79" s="235">
        <v>45</v>
      </c>
      <c r="Z79" s="235">
        <v>107.5</v>
      </c>
      <c r="AA79" s="235">
        <v>18</v>
      </c>
      <c r="AB79" s="233" t="s">
        <v>569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570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John Doe</cp:lastModifiedBy>
  <cp:lastPrinted>2013-02-03T16:58:27Z</cp:lastPrinted>
  <dcterms:created xsi:type="dcterms:W3CDTF">2012-01-16T16:44:29Z</dcterms:created>
  <dcterms:modified xsi:type="dcterms:W3CDTF">2013-11-25T12:53:57Z</dcterms:modified>
  <cp:category/>
  <cp:version/>
  <cp:contentType/>
  <cp:contentStatus/>
</cp:coreProperties>
</file>